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92.168.1.104\Volume_1\Posao\2023\VIROVI\Dokumenti\Proračun\"/>
    </mc:Choice>
  </mc:AlternateContent>
  <xr:revisionPtr revIDLastSave="0" documentId="13_ncr:1_{A032CCAD-2D26-47FC-AC63-9BC4539F08BB}" xr6:coauthVersionLast="47" xr6:coauthVersionMax="47" xr10:uidLastSave="{00000000-0000-0000-0000-000000000000}"/>
  <bookViews>
    <workbookView xWindow="-120" yWindow="-120" windowWidth="25440" windowHeight="15390" tabRatio="913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K15" i="1"/>
  <c r="L14" i="1"/>
  <c r="K14" i="1"/>
  <c r="L11" i="1"/>
  <c r="K11" i="1"/>
  <c r="G8" i="7"/>
  <c r="E8" i="7"/>
  <c r="F8" i="7"/>
  <c r="D8" i="7"/>
  <c r="G9" i="7"/>
  <c r="G10" i="7"/>
  <c r="E10" i="7"/>
  <c r="F10" i="7"/>
  <c r="E9" i="7"/>
  <c r="F9" i="7"/>
  <c r="D9" i="7"/>
  <c r="G11" i="7"/>
  <c r="E11" i="7"/>
  <c r="F11" i="7"/>
  <c r="D11" i="7"/>
  <c r="D10" i="7" s="1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12" i="7"/>
  <c r="G7" i="11"/>
  <c r="H7" i="11"/>
  <c r="H8" i="11"/>
  <c r="G8" i="11"/>
  <c r="H18" i="8"/>
  <c r="G18" i="8"/>
  <c r="G17" i="8"/>
  <c r="F17" i="8"/>
  <c r="H17" i="8" s="1"/>
  <c r="E17" i="8"/>
  <c r="D17" i="8"/>
  <c r="C17" i="8"/>
  <c r="D18" i="8"/>
  <c r="E18" i="8"/>
  <c r="F18" i="8"/>
  <c r="C18" i="8"/>
  <c r="G15" i="8"/>
  <c r="F15" i="8"/>
  <c r="F14" i="8" s="1"/>
  <c r="E15" i="8"/>
  <c r="E14" i="8" s="1"/>
  <c r="D15" i="8"/>
  <c r="D14" i="8" s="1"/>
  <c r="C15" i="8"/>
  <c r="C14" i="8" s="1"/>
  <c r="G7" i="8"/>
  <c r="F6" i="8"/>
  <c r="H6" i="8" s="1"/>
  <c r="E6" i="8"/>
  <c r="D6" i="8"/>
  <c r="C6" i="8"/>
  <c r="G10" i="8"/>
  <c r="H10" i="8"/>
  <c r="G11" i="8"/>
  <c r="H11" i="8"/>
  <c r="H7" i="8"/>
  <c r="H8" i="8"/>
  <c r="G8" i="8"/>
  <c r="G23" i="3"/>
  <c r="K23" i="3" s="1"/>
  <c r="G35" i="3"/>
  <c r="J35" i="3"/>
  <c r="J56" i="3"/>
  <c r="K56" i="3" s="1"/>
  <c r="G56" i="3"/>
  <c r="J23" i="3"/>
  <c r="G64" i="3"/>
  <c r="K24" i="3"/>
  <c r="K25" i="3"/>
  <c r="K26" i="3"/>
  <c r="K27" i="3"/>
  <c r="K28" i="3"/>
  <c r="K29" i="3"/>
  <c r="K31" i="3"/>
  <c r="K32" i="3"/>
  <c r="K33" i="3"/>
  <c r="K34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7" i="3"/>
  <c r="K58" i="3"/>
  <c r="K59" i="3"/>
  <c r="K60" i="3"/>
  <c r="K61" i="3"/>
  <c r="K62" i="3"/>
  <c r="K63" i="3"/>
  <c r="K64" i="3"/>
  <c r="K21" i="3"/>
  <c r="L29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28" i="3"/>
  <c r="J61" i="3"/>
  <c r="J60" i="3" s="1"/>
  <c r="J62" i="3"/>
  <c r="H57" i="3"/>
  <c r="I57" i="3"/>
  <c r="J57" i="3"/>
  <c r="G57" i="3"/>
  <c r="J51" i="3"/>
  <c r="H51" i="3"/>
  <c r="I51" i="3"/>
  <c r="G51" i="3"/>
  <c r="J41" i="3"/>
  <c r="J21" i="3"/>
  <c r="L21" i="3" s="1"/>
  <c r="J31" i="3"/>
  <c r="J30" i="3" s="1"/>
  <c r="J22" i="3" s="1"/>
  <c r="J26" i="3"/>
  <c r="J24" i="3"/>
  <c r="L24" i="3"/>
  <c r="H28" i="3"/>
  <c r="I28" i="3"/>
  <c r="J28" i="3"/>
  <c r="G28" i="3"/>
  <c r="L25" i="3"/>
  <c r="L27" i="3"/>
  <c r="G62" i="3"/>
  <c r="G61" i="3" s="1"/>
  <c r="G60" i="3" s="1"/>
  <c r="G54" i="3"/>
  <c r="G41" i="3"/>
  <c r="G31" i="3"/>
  <c r="G26" i="3"/>
  <c r="G21" i="3"/>
  <c r="G24" i="3"/>
  <c r="H48" i="3"/>
  <c r="J50" i="3"/>
  <c r="G50" i="3"/>
  <c r="J39" i="3"/>
  <c r="G39" i="3"/>
  <c r="G16" i="3"/>
  <c r="G15" i="3" s="1"/>
  <c r="G10" i="3"/>
  <c r="G13" i="3"/>
  <c r="G12" i="3" s="1"/>
  <c r="J16" i="3"/>
  <c r="J15" i="3" s="1"/>
  <c r="J10" i="3"/>
  <c r="J13" i="3"/>
  <c r="J12" i="3" s="1"/>
  <c r="K17" i="3"/>
  <c r="K14" i="3"/>
  <c r="H14" i="8" l="1"/>
  <c r="G14" i="8"/>
  <c r="G6" i="8"/>
  <c r="H15" i="8"/>
  <c r="K35" i="3"/>
  <c r="L30" i="3"/>
  <c r="L23" i="3"/>
  <c r="L26" i="3"/>
  <c r="G30" i="3"/>
  <c r="G22" i="3" s="1"/>
  <c r="K22" i="3" s="1"/>
  <c r="K10" i="3"/>
  <c r="K15" i="3"/>
  <c r="K16" i="3"/>
  <c r="K12" i="3"/>
  <c r="G11" i="3"/>
  <c r="K13" i="3"/>
  <c r="J11" i="3"/>
  <c r="K30" i="3" l="1"/>
  <c r="K11" i="3"/>
  <c r="H64" i="3"/>
  <c r="I64" i="3" s="1"/>
  <c r="H58" i="3"/>
  <c r="I58" i="3" s="1"/>
  <c r="H55" i="3"/>
  <c r="H54" i="3" s="1"/>
  <c r="I54" i="3" s="1"/>
  <c r="H52" i="3"/>
  <c r="I52" i="3" s="1"/>
  <c r="I48" i="3"/>
  <c r="H45" i="3"/>
  <c r="I45" i="3" s="1"/>
  <c r="H44" i="3"/>
  <c r="I44" i="3" s="1"/>
  <c r="H42" i="3"/>
  <c r="H39" i="3"/>
  <c r="I39" i="3" s="1"/>
  <c r="H37" i="3"/>
  <c r="I37" i="3" s="1"/>
  <c r="H34" i="3"/>
  <c r="H32" i="3"/>
  <c r="H27" i="3"/>
  <c r="H26" i="3" s="1"/>
  <c r="I26" i="3" s="1"/>
  <c r="H25" i="3"/>
  <c r="I25" i="3" s="1"/>
  <c r="N63" i="3"/>
  <c r="H63" i="3" s="1"/>
  <c r="N50" i="3"/>
  <c r="H50" i="3" s="1"/>
  <c r="I50" i="3" s="1"/>
  <c r="N43" i="3"/>
  <c r="H43" i="3" s="1"/>
  <c r="I43" i="3" s="1"/>
  <c r="N36" i="3"/>
  <c r="H36" i="3" s="1"/>
  <c r="N38" i="3"/>
  <c r="H38" i="3" s="1"/>
  <c r="I38" i="3" s="1"/>
  <c r="I17" i="3"/>
  <c r="I14" i="3"/>
  <c r="L14" i="3" s="1"/>
  <c r="H17" i="3"/>
  <c r="H16" i="3" s="1"/>
  <c r="H15" i="3" s="1"/>
  <c r="H14" i="3"/>
  <c r="H31" i="3" l="1"/>
  <c r="I31" i="3" s="1"/>
  <c r="I27" i="3"/>
  <c r="H10" i="3"/>
  <c r="H41" i="3"/>
  <c r="I41" i="3" s="1"/>
  <c r="I36" i="3"/>
  <c r="H35" i="3"/>
  <c r="I35" i="3" s="1"/>
  <c r="I63" i="3"/>
  <c r="H62" i="3"/>
  <c r="H21" i="3"/>
  <c r="I21" i="3" s="1"/>
  <c r="H24" i="3"/>
  <c r="I34" i="3"/>
  <c r="H13" i="3"/>
  <c r="H12" i="3" s="1"/>
  <c r="H11" i="3" s="1"/>
  <c r="I42" i="3"/>
  <c r="I32" i="3"/>
  <c r="I55" i="3"/>
  <c r="I16" i="3"/>
  <c r="L17" i="3"/>
  <c r="I10" i="3"/>
  <c r="L10" i="3" s="1"/>
  <c r="I13" i="3"/>
  <c r="H56" i="3" l="1"/>
  <c r="I56" i="3" s="1"/>
  <c r="I12" i="3"/>
  <c r="L13" i="3"/>
  <c r="I62" i="3"/>
  <c r="H61" i="3"/>
  <c r="H30" i="3"/>
  <c r="I30" i="3" s="1"/>
  <c r="I24" i="3"/>
  <c r="H23" i="3"/>
  <c r="I15" i="3"/>
  <c r="L15" i="3" s="1"/>
  <c r="L16" i="3"/>
  <c r="H60" i="3" l="1"/>
  <c r="I61" i="3"/>
  <c r="H22" i="3"/>
  <c r="I23" i="3"/>
  <c r="I11" i="3"/>
  <c r="L12" i="3"/>
  <c r="I22" i="3" l="1"/>
  <c r="L11" i="3"/>
  <c r="I60" i="3"/>
  <c r="L22" i="3" l="1"/>
</calcChain>
</file>

<file path=xl/sharedStrings.xml><?xml version="1.0" encoding="utf-8"?>
<sst xmlns="http://schemas.openxmlformats.org/spreadsheetml/2006/main" count="224" uniqueCount="135">
  <si>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</si>
  <si>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</si>
  <si>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</si>
  <si>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</si>
  <si>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</si>
  <si>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</si>
  <si>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</si>
  <si>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</si>
  <si>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</si>
  <si>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</si>
  <si>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</si>
  <si>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</si>
  <si>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</si>
  <si>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</si>
  <si>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</si>
  <si>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</si>
  <si>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</si>
  <si>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</si>
  <si>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</si>
  <si>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</si>
  <si>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</si>
  <si>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</si>
  <si>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</si>
  <si>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Prihodi od prodaje proizvoda i robe te pruženih usluga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</si>
  <si>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</si>
  <si>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</si>
  <si>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</si>
  <si>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</si>
  <si>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</si>
  <si>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</si>
  <si>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</si>
  <si>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</si>
  <si>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</si>
  <si>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</si>
  <si>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</si>
  <si>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</si>
  <si>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</si>
  <si>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</si>
  <si>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</si>
  <si>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</si>
  <si>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</si>
  <si>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</si>
  <si>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</si>
  <si>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</si>
  <si>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</si>
  <si>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</si>
  <si>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</si>
  <si>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</si>
  <si>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</si>
  <si>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</si>
  <si>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</si>
  <si>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</si>
  <si>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</si>
  <si>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</si>
  <si>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</si>
  <si>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</si>
  <si>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</si>
  <si>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</si>
  <si>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</si>
  <si>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1.-6.2022. 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</si>
  <si>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</si>
  <si>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</si>
  <si>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</si>
  <si>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</si>
  <si>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</si>
  <si>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</si>
  <si>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</si>
  <si>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 xml:space="preserve">IZVRŠENJE 
1.-6.2022. </t>
  </si>
  <si>
    <t xml:space="preserve">IZVRŠENJE 
1.-6.2023. </t>
  </si>
  <si>
    <t>IZVJEŠTAJ PO PROGRAMSKOJ KLASIFIKACIJI</t>
  </si>
  <si>
    <t xml:space="preserve"> IZVRŠENJE 
1.-6.2023. </t>
  </si>
  <si>
    <t>SAŽETAK  RAČUNA PRIHODA I RASHODA I  RAČUNA FINANCIRANJA  može sadržavati i dodatne podatke.</t>
  </si>
  <si>
    <t>Ostali rashodi za zaposlene</t>
  </si>
  <si>
    <t>Naknade troškova osobama izvan radnog odnosa</t>
  </si>
  <si>
    <t>Usluge telefona, pošte i prijevoza</t>
  </si>
  <si>
    <t>Usluge tekućeg i investicijskog održavanja</t>
  </si>
  <si>
    <t>Usluge promidžbe i informiranja</t>
  </si>
  <si>
    <t>Premije osiguranja</t>
  </si>
  <si>
    <t>Ostale usluge</t>
  </si>
  <si>
    <t>Komunalne usluge</t>
  </si>
  <si>
    <t>Bankarske usluge i usluge platnog prometa</t>
  </si>
  <si>
    <t>Prihodi od pruženih usluga</t>
  </si>
  <si>
    <t xml:space="preserve"> Prihodi od prodaje proizvoda i robe te pruženih usluga, prihodi od donacija te povrati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</si>
  <si>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</si>
  <si>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</si>
  <si>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</si>
  <si>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</si>
  <si>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</si>
  <si>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</si>
  <si>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</si>
  <si>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</si>
  <si>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</si>
  <si>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Rashodi za usluge</t>
  </si>
  <si>
    <t>Intelektualne i osobne usluge</t>
  </si>
  <si>
    <t>Ostali nespomenuti rashodi poslovanja</t>
  </si>
  <si>
    <t>Financijski rashodi</t>
  </si>
  <si>
    <t>Ostali financijski rashodi</t>
  </si>
  <si>
    <t>Rashodi za nabavu proizvedene dugotrajne imovine</t>
  </si>
  <si>
    <t>Postrojenja i oprema</t>
  </si>
  <si>
    <t>Uredska oprema i namještaj</t>
  </si>
  <si>
    <t>Uređaji, strojevi i oprema za ostale namjene</t>
  </si>
  <si>
    <t>Doprinosi a obavezno zdravstveno osiguranje</t>
  </si>
  <si>
    <t>Doprinosi na plaće</t>
  </si>
  <si>
    <t>Naknada za prijevoz</t>
  </si>
  <si>
    <t>Službena radna i zaštitna odjeća i obuća</t>
  </si>
  <si>
    <t>Zakupnine i najamnine</t>
  </si>
  <si>
    <t>Zdravstvene i veterinarske usluge</t>
  </si>
  <si>
    <t>Računalne usluge</t>
  </si>
  <si>
    <t>Pristojbe i naknade</t>
  </si>
  <si>
    <t>Zatezne kamate</t>
  </si>
  <si>
    <t>5 Pomoći</t>
  </si>
  <si>
    <t>52 Ostale pomoći i darovnice</t>
  </si>
  <si>
    <t>R.01.001</t>
  </si>
  <si>
    <t>TEKUĆI PROGRAMI</t>
  </si>
  <si>
    <t>NADREĐENI PRORAČUN</t>
  </si>
  <si>
    <t>VLASTITI PRIHODI</t>
  </si>
  <si>
    <t>USTANOVA VIROVI</t>
  </si>
  <si>
    <t>R.01</t>
  </si>
  <si>
    <t>RASHODI ZA ZAPOSLENE</t>
  </si>
  <si>
    <t>BRUTO PLAĆE</t>
  </si>
  <si>
    <t>OSTALI RASHODI ZA ZAPOSLENE</t>
  </si>
  <si>
    <t>DOPRINOSI NA PLAĆE</t>
  </si>
  <si>
    <t>MATERIJANI RASHODI</t>
  </si>
  <si>
    <t>NAKNADE TROŠKOVA OSOBAMA IZVAN RADNOG ODNOSA</t>
  </si>
  <si>
    <t>RASHODI ZA MATERIJAL I ENERGIJU</t>
  </si>
  <si>
    <t>RASHODI ZA USLUGE</t>
  </si>
  <si>
    <t>OSTALI NESPOMENUTI RASHODI POSLOVANJA</t>
  </si>
  <si>
    <t>NAKNADE TROŠKOVA ZAPOSLENIMA</t>
  </si>
  <si>
    <t xml:space="preserve">IZVORNI PLAN </t>
  </si>
  <si>
    <t>IZVORNI PLAN</t>
  </si>
  <si>
    <t>TEKUĆI PLAN 2023.</t>
  </si>
  <si>
    <t xml:space="preserve">IZVJEŠTAJ O IZVRŠENJU FINANCIJSKOG PLANA USTANOVE VIROVI ZA PRVO POLUGODIŠTE 2023. </t>
  </si>
  <si>
    <t xml:space="preserve">OSTVARENJE/IZVRŠENJE  1.-6.2023. </t>
  </si>
  <si>
    <t xml:space="preserve">OSTVARENJE/ IZVRŠENJE 
1.-6.2023. </t>
  </si>
  <si>
    <t>Napomena:  Iznosi u stupcu "OSTVARENJE/IZVRŠENJE 1.-6. 2022." preračunani su iz kuna u eure prema fiksnom tečaju konverzije (1 EUR=7,53450 kuna) i po pravilima za preračunavanje i zaokruživanje.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</si>
</sst>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32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left" vertical="top" wrapText="1"/>
    </xf>
    <xf numFmtId="0" fontId="9" fillId="3" borderId="2" xfId="0" applyFont="1" applyFill="1" applyBorder="1" applyAlignment="1">
      <alignment vertical="center"/>
    </xf>
    <xf numFmtId="0" fontId="0" fillId="3" borderId="0" xfId="0" applyFill="1"/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0" fontId="0" fillId="0" borderId="0" xfId="0" applyAlignment="1">
      <alignment wrapText="1"/>
    </xf>
    <xf numFmtId="165" fontId="0" fillId="0" borderId="3" xfId="1" applyNumberFormat="1" applyFont="1" applyBorder="1"/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8" fillId="0" borderId="0" xfId="0" applyFont="1" applyAlignment="1">
      <alignment horizontal="center"/>
    </xf>
    <xf numFmtId="165" fontId="13" fillId="0" borderId="3" xfId="1" applyNumberFormat="1" applyFont="1" applyBorder="1"/>
    <xf numFmtId="0" fontId="13" fillId="0" borderId="0" xfId="0" applyFont="1"/>
    <xf numFmtId="0" fontId="20" fillId="0" borderId="0" xfId="0" applyFont="1"/>
    <xf numFmtId="165" fontId="20" fillId="0" borderId="3" xfId="1" applyNumberFormat="1" applyFont="1" applyBorder="1" applyAlignment="1">
      <alignment horizontal="right"/>
    </xf>
    <xf numFmtId="165" fontId="20" fillId="0" borderId="3" xfId="1" applyNumberFormat="1" applyFont="1" applyBorder="1"/>
    <xf numFmtId="0" fontId="20" fillId="0" borderId="0" xfId="0" applyFont="1" applyAlignment="1">
      <alignment horizontal="right"/>
    </xf>
    <xf numFmtId="165" fontId="13" fillId="0" borderId="3" xfId="1" applyNumberFormat="1" applyFont="1" applyBorder="1" applyAlignment="1">
      <alignment horizontal="right"/>
    </xf>
    <xf numFmtId="0" fontId="20" fillId="0" borderId="3" xfId="0" applyFont="1" applyBorder="1"/>
    <xf numFmtId="165" fontId="0" fillId="0" borderId="3" xfId="1" applyNumberFormat="1" applyFont="1" applyBorder="1" applyAlignment="1">
      <alignment horizontal="right" vertical="center"/>
    </xf>
    <xf numFmtId="165" fontId="1" fillId="0" borderId="3" xfId="1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165" fontId="20" fillId="0" borderId="3" xfId="1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left" vertical="center" wrapText="1"/>
    </xf>
    <xf numFmtId="165" fontId="21" fillId="2" borderId="3" xfId="1" applyNumberFormat="1" applyFont="1" applyFill="1" applyBorder="1" applyAlignment="1">
      <alignment horizontal="right" vertical="center"/>
    </xf>
    <xf numFmtId="0" fontId="24" fillId="2" borderId="3" xfId="0" applyFont="1" applyFill="1" applyBorder="1" applyAlignment="1">
      <alignment horizontal="left" vertical="center" wrapText="1"/>
    </xf>
    <xf numFmtId="165" fontId="24" fillId="2" borderId="3" xfId="1" applyNumberFormat="1" applyFont="1" applyFill="1" applyBorder="1" applyAlignment="1">
      <alignment horizontal="right" vertical="center"/>
    </xf>
    <xf numFmtId="0" fontId="26" fillId="2" borderId="3" xfId="0" quotePrefix="1" applyFont="1" applyFill="1" applyBorder="1" applyAlignment="1">
      <alignment horizontal="left" vertical="center"/>
    </xf>
    <xf numFmtId="0" fontId="27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0" fontId="27" fillId="2" borderId="3" xfId="0" applyFont="1" applyFill="1" applyBorder="1" applyAlignment="1">
      <alignment horizontal="left" vertical="center" wrapText="1"/>
    </xf>
    <xf numFmtId="3" fontId="24" fillId="2" borderId="3" xfId="0" applyNumberFormat="1" applyFont="1" applyFill="1" applyBorder="1" applyAlignment="1">
      <alignment horizontal="right"/>
    </xf>
    <xf numFmtId="3" fontId="24" fillId="2" borderId="3" xfId="0" applyNumberFormat="1" applyFont="1" applyFill="1" applyBorder="1" applyAlignment="1">
      <alignment horizontal="right" wrapText="1"/>
    </xf>
    <xf numFmtId="0" fontId="0" fillId="0" borderId="3" xfId="0" applyFont="1" applyBorder="1"/>
    <xf numFmtId="0" fontId="28" fillId="2" borderId="3" xfId="0" quotePrefix="1" applyFont="1" applyFill="1" applyBorder="1" applyAlignment="1">
      <alignment horizontal="left" vertical="center" wrapText="1" indent="1"/>
    </xf>
    <xf numFmtId="0" fontId="28" fillId="2" borderId="3" xfId="0" applyFont="1" applyFill="1" applyBorder="1" applyAlignment="1">
      <alignment horizontal="left" vertical="center" indent="1"/>
    </xf>
    <xf numFmtId="0" fontId="28" fillId="2" borderId="3" xfId="0" applyFont="1" applyFill="1" applyBorder="1" applyAlignment="1">
      <alignment horizontal="left" vertical="center" wrapText="1" indent="1"/>
    </xf>
    <xf numFmtId="0" fontId="26" fillId="2" borderId="3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6" fillId="2" borderId="3" xfId="0" quotePrefix="1" applyFont="1" applyFill="1" applyBorder="1" applyAlignment="1">
      <alignment horizontal="left" vertical="center" wrapText="1"/>
    </xf>
    <xf numFmtId="0" fontId="28" fillId="2" borderId="3" xfId="0" quotePrefix="1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vertical="center" wrapText="1"/>
    </xf>
    <xf numFmtId="0" fontId="26" fillId="2" borderId="3" xfId="0" applyFont="1" applyFill="1" applyBorder="1" applyAlignment="1">
      <alignment vertical="center" wrapText="1"/>
    </xf>
    <xf numFmtId="0" fontId="26" fillId="2" borderId="3" xfId="0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0" fillId="0" borderId="0" xfId="0" applyFont="1"/>
    <xf numFmtId="0" fontId="30" fillId="0" borderId="0" xfId="0" applyFont="1" applyAlignment="1">
      <alignment horizontal="center" vertical="center" wrapText="1"/>
    </xf>
    <xf numFmtId="3" fontId="21" fillId="2" borderId="3" xfId="0" applyNumberFormat="1" applyFont="1" applyFill="1" applyBorder="1" applyAlignment="1">
      <alignment horizontal="right"/>
    </xf>
    <xf numFmtId="165" fontId="21" fillId="2" borderId="3" xfId="1" applyNumberFormat="1" applyFont="1" applyFill="1" applyBorder="1" applyAlignment="1">
      <alignment horizontal="right"/>
    </xf>
    <xf numFmtId="165" fontId="24" fillId="2" borderId="3" xfId="1" applyNumberFormat="1" applyFont="1" applyFill="1" applyBorder="1" applyAlignment="1">
      <alignment horizontal="right"/>
    </xf>
    <xf numFmtId="165" fontId="21" fillId="2" borderId="3" xfId="1" applyNumberFormat="1" applyFont="1" applyFill="1" applyBorder="1" applyAlignment="1">
      <alignment horizontal="right" wrapText="1"/>
    </xf>
    <xf numFmtId="165" fontId="24" fillId="2" borderId="3" xfId="1" applyNumberFormat="1" applyFont="1" applyFill="1" applyBorder="1" applyAlignment="1">
      <alignment horizontal="right" wrapText="1"/>
    </xf>
    <xf numFmtId="0" fontId="21" fillId="3" borderId="3" xfId="0" applyFont="1" applyFill="1" applyBorder="1" applyAlignment="1">
      <alignment horizontal="right" vertical="center" wrapText="1"/>
    </xf>
    <xf numFmtId="0" fontId="31" fillId="2" borderId="3" xfId="0" quotePrefix="1" applyFont="1" applyFill="1" applyBorder="1" applyAlignment="1">
      <alignment horizontal="left" vertical="center"/>
    </xf>
    <xf numFmtId="0" fontId="29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right"/>
    </xf>
    <xf numFmtId="0" fontId="23" fillId="0" borderId="3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7" fillId="2" borderId="3" xfId="0" quotePrefix="1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5"/>
  <sheetViews>
    <sheetView tabSelected="1" topLeftCell="A10" workbookViewId="0">
      <selection activeCell="B29" sqref="B29:L29"/>
    </sheetView>
  </sheetViews>
  <sheetFormatPr defaultRowHeight="15" x14ac:dyDescent="0.25"/>
  <cols>
    <col min="6" max="6" width="11" customWidth="1"/>
    <col min="7" max="8" width="13.7109375" customWidth="1"/>
    <col min="9" max="10" width="13.5703125" customWidth="1"/>
    <col min="11" max="11" width="9.7109375" customWidth="1"/>
    <col min="12" max="12" width="10.85546875" customWidth="1"/>
  </cols>
  <sheetData>
    <row r="1" spans="2:12" ht="42" customHeight="1" x14ac:dyDescent="0.25">
      <c r="B1" s="41" t="s">
        <v>131</v>
      </c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2:12" ht="18" customHeight="1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2:12" ht="15.75" customHeight="1" x14ac:dyDescent="0.25">
      <c r="B3" s="41" t="s">
        <v>13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2:12" ht="36" customHeight="1" x14ac:dyDescent="0.25">
      <c r="B4" s="60"/>
      <c r="C4" s="60"/>
      <c r="D4" s="60"/>
      <c r="E4" s="27"/>
      <c r="F4" s="27"/>
      <c r="G4" s="27"/>
      <c r="H4" s="27"/>
      <c r="I4" s="27"/>
      <c r="J4" s="29"/>
      <c r="K4" s="29"/>
      <c r="L4" s="28"/>
    </row>
    <row r="5" spans="2:12" ht="18" customHeight="1" x14ac:dyDescent="0.25">
      <c r="B5" s="41" t="s">
        <v>57</v>
      </c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2:12" ht="18" customHeight="1" x14ac:dyDescent="0.25">
      <c r="B6" s="30"/>
      <c r="C6" s="31"/>
      <c r="D6" s="31"/>
      <c r="E6" s="31"/>
      <c r="F6" s="31"/>
      <c r="G6" s="31"/>
      <c r="H6" s="31"/>
      <c r="I6" s="31"/>
      <c r="J6" s="31"/>
      <c r="K6" s="31"/>
      <c r="L6" s="28"/>
    </row>
    <row r="7" spans="2:12" x14ac:dyDescent="0.25">
      <c r="B7" s="54" t="s">
        <v>58</v>
      </c>
      <c r="C7" s="54"/>
      <c r="D7" s="54"/>
      <c r="E7" s="54"/>
      <c r="F7" s="54"/>
      <c r="G7" s="32"/>
      <c r="H7" s="32"/>
      <c r="I7" s="32"/>
      <c r="J7" s="32"/>
      <c r="K7" s="33"/>
      <c r="L7" s="28"/>
    </row>
    <row r="8" spans="2:12" ht="39.75" customHeight="1" x14ac:dyDescent="0.25">
      <c r="B8" s="55" t="s">
        <v>6</v>
      </c>
      <c r="C8" s="56"/>
      <c r="D8" s="56"/>
      <c r="E8" s="56"/>
      <c r="F8" s="57"/>
      <c r="G8" s="15" t="s">
        <v>59</v>
      </c>
      <c r="H8" s="1" t="s">
        <v>128</v>
      </c>
      <c r="I8" s="1" t="s">
        <v>130</v>
      </c>
      <c r="J8" s="15" t="s">
        <v>60</v>
      </c>
      <c r="K8" s="1" t="s">
        <v>18</v>
      </c>
      <c r="L8" s="1" t="s">
        <v>49</v>
      </c>
    </row>
    <row r="9" spans="2:12" s="18" customFormat="1" ht="11.25" x14ac:dyDescent="0.2">
      <c r="B9" s="48">
        <v>1</v>
      </c>
      <c r="C9" s="48"/>
      <c r="D9" s="48"/>
      <c r="E9" s="48"/>
      <c r="F9" s="49"/>
      <c r="G9" s="17">
        <v>2</v>
      </c>
      <c r="H9" s="16">
        <v>3</v>
      </c>
      <c r="I9" s="16">
        <v>4</v>
      </c>
      <c r="J9" s="16">
        <v>5</v>
      </c>
      <c r="K9" s="16" t="s">
        <v>20</v>
      </c>
      <c r="L9" s="16" t="s">
        <v>21</v>
      </c>
    </row>
    <row r="10" spans="2:12" x14ac:dyDescent="0.25">
      <c r="B10" s="50" t="s">
        <v>0</v>
      </c>
      <c r="C10" s="51"/>
      <c r="D10" s="51"/>
      <c r="E10" s="51"/>
      <c r="F10" s="52"/>
      <c r="G10" s="13"/>
      <c r="H10" s="13"/>
      <c r="I10" s="13"/>
      <c r="J10" s="13"/>
      <c r="K10" s="13"/>
      <c r="L10" s="13"/>
    </row>
    <row r="11" spans="2:12" x14ac:dyDescent="0.25">
      <c r="B11" s="53" t="s">
        <v>50</v>
      </c>
      <c r="C11" s="44"/>
      <c r="D11" s="44"/>
      <c r="E11" s="44"/>
      <c r="F11" s="46"/>
      <c r="G11" s="11">
        <v>359154</v>
      </c>
      <c r="H11" s="11">
        <v>627778.88</v>
      </c>
      <c r="I11" s="11">
        <v>627778.88</v>
      </c>
      <c r="J11" s="11">
        <v>285391</v>
      </c>
      <c r="K11" s="11">
        <f>J11/G11*100</f>
        <v>79.462013509525164</v>
      </c>
      <c r="L11" s="11">
        <f>J11/I11*100</f>
        <v>45.46043345707966</v>
      </c>
    </row>
    <row r="12" spans="2:12" x14ac:dyDescent="0.25">
      <c r="B12" s="45" t="s">
        <v>55</v>
      </c>
      <c r="C12" s="46"/>
      <c r="D12" s="46"/>
      <c r="E12" s="46"/>
      <c r="F12" s="46"/>
      <c r="G12" s="11"/>
      <c r="H12" s="11"/>
      <c r="I12" s="11"/>
      <c r="J12" s="11"/>
      <c r="K12" s="11"/>
      <c r="L12" s="11"/>
    </row>
    <row r="13" spans="2:12" x14ac:dyDescent="0.25">
      <c r="B13" s="14" t="s">
        <v>1</v>
      </c>
      <c r="C13" s="24"/>
      <c r="D13" s="24"/>
      <c r="E13" s="24"/>
      <c r="F13" s="24"/>
      <c r="G13" s="13"/>
      <c r="H13" s="13"/>
      <c r="I13" s="13"/>
      <c r="J13" s="13"/>
      <c r="K13" s="13"/>
      <c r="L13" s="13"/>
    </row>
    <row r="14" spans="2:12" x14ac:dyDescent="0.25">
      <c r="B14" s="43" t="s">
        <v>51</v>
      </c>
      <c r="C14" s="44"/>
      <c r="D14" s="44"/>
      <c r="E14" s="44"/>
      <c r="F14" s="44"/>
      <c r="G14" s="11">
        <v>266600</v>
      </c>
      <c r="H14" s="11">
        <v>618488.28999999992</v>
      </c>
      <c r="I14" s="11">
        <v>618488.28999999992</v>
      </c>
      <c r="J14" s="11">
        <v>197866</v>
      </c>
      <c r="K14" s="11">
        <f>J14/G14*100</f>
        <v>74.218304576144035</v>
      </c>
      <c r="L14" s="11">
        <f>J14/I14*100</f>
        <v>31.991874898714741</v>
      </c>
    </row>
    <row r="15" spans="2:12" x14ac:dyDescent="0.25">
      <c r="B15" s="45" t="s">
        <v>52</v>
      </c>
      <c r="C15" s="46"/>
      <c r="D15" s="46"/>
      <c r="E15" s="46"/>
      <c r="F15" s="46"/>
      <c r="G15" s="11">
        <v>3775</v>
      </c>
      <c r="H15" s="11">
        <v>9290.6</v>
      </c>
      <c r="I15" s="11">
        <v>9290.6</v>
      </c>
      <c r="J15" s="11">
        <v>3279</v>
      </c>
      <c r="K15" s="11">
        <f>J15/G15*100</f>
        <v>86.860927152317885</v>
      </c>
      <c r="L15" s="11">
        <f>J15/I15*100</f>
        <v>35.293737756441992</v>
      </c>
    </row>
    <row r="16" spans="2:12" x14ac:dyDescent="0.25">
      <c r="B16" s="59" t="s">
        <v>61</v>
      </c>
      <c r="C16" s="51"/>
      <c r="D16" s="51"/>
      <c r="E16" s="51"/>
      <c r="F16" s="51"/>
      <c r="G16" s="13"/>
      <c r="H16" s="13"/>
      <c r="I16" s="12"/>
      <c r="J16" s="12"/>
      <c r="K16" s="12"/>
      <c r="L16" s="12"/>
    </row>
    <row r="17" spans="1:43" ht="18" x14ac:dyDescent="0.25">
      <c r="B17" s="27"/>
      <c r="C17" s="34"/>
      <c r="D17" s="34"/>
      <c r="E17" s="34"/>
      <c r="F17" s="34"/>
      <c r="G17" s="34"/>
      <c r="H17" s="34"/>
      <c r="I17" s="35"/>
      <c r="J17" s="35"/>
      <c r="K17" s="35"/>
      <c r="L17" s="35"/>
    </row>
    <row r="18" spans="1:43" ht="18" customHeight="1" x14ac:dyDescent="0.25">
      <c r="B18" s="54" t="s">
        <v>62</v>
      </c>
      <c r="C18" s="54"/>
      <c r="D18" s="54"/>
      <c r="E18" s="54"/>
      <c r="F18" s="54"/>
      <c r="G18" s="34"/>
      <c r="H18" s="34"/>
      <c r="I18" s="35"/>
      <c r="J18" s="35"/>
      <c r="K18" s="35"/>
      <c r="L18" s="35"/>
    </row>
    <row r="19" spans="1:43" ht="40.5" customHeight="1" x14ac:dyDescent="0.25">
      <c r="B19" s="55" t="s">
        <v>6</v>
      </c>
      <c r="C19" s="56"/>
      <c r="D19" s="56"/>
      <c r="E19" s="56"/>
      <c r="F19" s="57"/>
      <c r="G19" s="15" t="s">
        <v>59</v>
      </c>
      <c r="H19" s="1" t="s">
        <v>129</v>
      </c>
      <c r="I19" s="1" t="s">
        <v>130</v>
      </c>
      <c r="J19" s="15" t="s">
        <v>60</v>
      </c>
      <c r="K19" s="1" t="s">
        <v>18</v>
      </c>
      <c r="L19" s="1" t="s">
        <v>49</v>
      </c>
    </row>
    <row r="20" spans="1:43" s="18" customFormat="1" x14ac:dyDescent="0.25">
      <c r="B20" s="48">
        <v>1</v>
      </c>
      <c r="C20" s="48"/>
      <c r="D20" s="48"/>
      <c r="E20" s="48"/>
      <c r="F20" s="49"/>
      <c r="G20" s="17">
        <v>2</v>
      </c>
      <c r="H20" s="16">
        <v>3</v>
      </c>
      <c r="I20" s="16">
        <v>4</v>
      </c>
      <c r="J20" s="16">
        <v>5</v>
      </c>
      <c r="K20" s="16" t="s">
        <v>20</v>
      </c>
      <c r="L20" s="16" t="s">
        <v>21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24" customHeight="1" x14ac:dyDescent="0.25">
      <c r="A21" s="18"/>
      <c r="B21" s="53" t="s">
        <v>53</v>
      </c>
      <c r="C21" s="64"/>
      <c r="D21" s="64"/>
      <c r="E21" s="64"/>
      <c r="F21" s="65"/>
      <c r="G21" s="11"/>
      <c r="H21" s="11">
        <v>0</v>
      </c>
      <c r="I21" s="11">
        <v>0</v>
      </c>
      <c r="J21" s="11"/>
      <c r="K21" s="11"/>
      <c r="L21" s="11"/>
    </row>
    <row r="22" spans="1:43" ht="25.5" customHeight="1" x14ac:dyDescent="0.25">
      <c r="A22" s="18"/>
      <c r="B22" s="53" t="s">
        <v>54</v>
      </c>
      <c r="C22" s="44"/>
      <c r="D22" s="44"/>
      <c r="E22" s="44"/>
      <c r="F22" s="44"/>
      <c r="G22" s="11"/>
      <c r="H22" s="11">
        <v>0</v>
      </c>
      <c r="I22" s="11">
        <v>0</v>
      </c>
      <c r="J22" s="11"/>
      <c r="K22" s="11"/>
      <c r="L22" s="11"/>
    </row>
    <row r="23" spans="1:43" s="25" customFormat="1" ht="15" customHeight="1" x14ac:dyDescent="0.25">
      <c r="A23" s="18"/>
      <c r="B23" s="61" t="s">
        <v>56</v>
      </c>
      <c r="C23" s="62"/>
      <c r="D23" s="62"/>
      <c r="E23" s="62"/>
      <c r="F23" s="63"/>
      <c r="G23" s="13"/>
      <c r="H23" s="13"/>
      <c r="I23" s="13"/>
      <c r="J23" s="13"/>
      <c r="K23" s="13"/>
      <c r="L23" s="1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25" customFormat="1" ht="24" customHeight="1" x14ac:dyDescent="0.25">
      <c r="A24" s="18"/>
      <c r="B24" s="61" t="s">
        <v>63</v>
      </c>
      <c r="C24" s="62"/>
      <c r="D24" s="62"/>
      <c r="E24" s="62"/>
      <c r="F24" s="63"/>
      <c r="G24" s="13"/>
      <c r="H24" s="13"/>
      <c r="I24" s="13"/>
      <c r="J24" s="13"/>
      <c r="K24" s="13"/>
      <c r="L24" s="1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ht="27" customHeight="1" x14ac:dyDescent="0.25">
      <c r="A25" s="18"/>
      <c r="B25" s="59" t="s">
        <v>64</v>
      </c>
      <c r="C25" s="51"/>
      <c r="D25" s="51"/>
      <c r="E25" s="51"/>
      <c r="F25" s="51"/>
      <c r="G25" s="13"/>
      <c r="H25" s="13"/>
      <c r="I25" s="13"/>
      <c r="J25" s="13"/>
      <c r="K25" s="13"/>
      <c r="L25" s="13"/>
    </row>
    <row r="26" spans="1:43" ht="15.75" x14ac:dyDescent="0.25">
      <c r="B26" s="36"/>
      <c r="C26" s="37"/>
      <c r="D26" s="37"/>
      <c r="E26" s="37"/>
      <c r="F26" s="37"/>
      <c r="G26" s="38"/>
      <c r="H26" s="38"/>
      <c r="I26" s="38"/>
      <c r="J26" s="38"/>
      <c r="K26" s="38"/>
      <c r="L26" s="28"/>
    </row>
    <row r="27" spans="1:43" ht="15.75" x14ac:dyDescent="0.25">
      <c r="B27" s="66" t="s">
        <v>71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</row>
    <row r="28" spans="1:43" ht="15.75" x14ac:dyDescent="0.25">
      <c r="B28" s="8"/>
      <c r="C28" s="9"/>
      <c r="D28" s="9"/>
      <c r="E28" s="9"/>
      <c r="F28" s="9"/>
      <c r="G28" s="10"/>
      <c r="H28" s="10"/>
      <c r="I28" s="10"/>
      <c r="J28" s="10"/>
      <c r="K28" s="10"/>
    </row>
    <row r="29" spans="1:43" ht="42" customHeight="1" x14ac:dyDescent="0.25">
      <c r="B29" s="47" t="s">
        <v>134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43" x14ac:dyDescent="0.25"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43" ht="15" customHeight="1" x14ac:dyDescent="0.25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43" ht="36.75" customHeight="1" x14ac:dyDescent="0.25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2:12" x14ac:dyDescent="0.25"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4" spans="2:12" ht="15" customHeight="1" x14ac:dyDescent="0.25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</row>
    <row r="35" spans="2:12" x14ac:dyDescent="0.25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</sheetData>
  <mergeCells count="27"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64"/>
  <sheetViews>
    <sheetView topLeftCell="A48" zoomScale="130" zoomScaleNormal="130" workbookViewId="0">
      <selection activeCell="G8" sqref="G8"/>
    </sheetView>
  </sheetViews>
  <sheetFormatPr defaultRowHeight="15" x14ac:dyDescent="0.25"/>
  <cols>
    <col min="1" max="1" width="9.140625" style="114"/>
    <col min="2" max="2" width="3.42578125" style="114" customWidth="1"/>
    <col min="3" max="3" width="4.140625" style="114" customWidth="1"/>
    <col min="4" max="4" width="5.42578125" style="114" bestFit="1" customWidth="1"/>
    <col min="5" max="5" width="5.42578125" style="114" customWidth="1"/>
    <col min="6" max="6" width="44.7109375" style="114" customWidth="1"/>
    <col min="7" max="7" width="11.7109375" style="114" customWidth="1"/>
    <col min="8" max="8" width="12.42578125" style="114" customWidth="1"/>
    <col min="9" max="9" width="12.140625" style="114" customWidth="1"/>
    <col min="10" max="10" width="11" style="126" customWidth="1"/>
    <col min="11" max="11" width="10.42578125" style="114" customWidth="1"/>
    <col min="12" max="12" width="9.7109375" style="114" customWidth="1"/>
    <col min="13" max="13" width="9.140625" style="114"/>
    <col min="14" max="14" width="0" style="114" hidden="1" customWidth="1"/>
    <col min="15" max="16384" width="9.140625" style="114"/>
  </cols>
  <sheetData>
    <row r="1" spans="2:14" ht="18" customHeight="1" x14ac:dyDescent="0.25">
      <c r="B1" s="112"/>
      <c r="C1" s="112"/>
      <c r="D1" s="112"/>
      <c r="E1" s="112"/>
      <c r="F1" s="112"/>
      <c r="G1" s="112"/>
      <c r="H1" s="112"/>
      <c r="I1" s="112"/>
      <c r="J1" s="123"/>
      <c r="K1" s="112"/>
    </row>
    <row r="2" spans="2:14" ht="15.75" customHeight="1" x14ac:dyDescent="0.25">
      <c r="B2" s="115" t="s">
        <v>13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2:14" ht="18.75" x14ac:dyDescent="0.25">
      <c r="B3" s="112"/>
      <c r="C3" s="112"/>
      <c r="D3" s="112"/>
      <c r="E3" s="112"/>
      <c r="F3" s="112"/>
      <c r="G3" s="112"/>
      <c r="H3" s="112"/>
      <c r="I3" s="112"/>
      <c r="J3" s="124"/>
      <c r="K3" s="113"/>
    </row>
    <row r="4" spans="2:14" ht="18" customHeight="1" x14ac:dyDescent="0.25">
      <c r="B4" s="115" t="s">
        <v>65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2:14" ht="18.75" x14ac:dyDescent="0.25">
      <c r="B5" s="112"/>
      <c r="C5" s="112"/>
      <c r="D5" s="112"/>
      <c r="E5" s="112"/>
      <c r="F5" s="112"/>
      <c r="G5" s="112"/>
      <c r="H5" s="112"/>
      <c r="I5" s="112"/>
      <c r="J5" s="124"/>
      <c r="K5" s="113"/>
    </row>
    <row r="6" spans="2:14" ht="15.75" customHeight="1" x14ac:dyDescent="0.25">
      <c r="B6" s="115" t="s">
        <v>19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2:14" ht="18.75" x14ac:dyDescent="0.25">
      <c r="B7" s="112"/>
      <c r="C7" s="112"/>
      <c r="D7" s="112"/>
      <c r="E7" s="112"/>
      <c r="F7" s="112"/>
      <c r="G7" s="112"/>
      <c r="H7" s="112"/>
      <c r="I7" s="112"/>
      <c r="J7" s="124"/>
      <c r="K7" s="113"/>
    </row>
    <row r="8" spans="2:14" s="125" customFormat="1" ht="38.25" x14ac:dyDescent="0.25">
      <c r="B8" s="83" t="s">
        <v>6</v>
      </c>
      <c r="C8" s="104"/>
      <c r="D8" s="104"/>
      <c r="E8" s="104"/>
      <c r="F8" s="84"/>
      <c r="G8" s="85" t="s">
        <v>59</v>
      </c>
      <c r="H8" s="85" t="s">
        <v>128</v>
      </c>
      <c r="I8" s="85" t="s">
        <v>130</v>
      </c>
      <c r="J8" s="121" t="s">
        <v>60</v>
      </c>
      <c r="K8" s="85" t="s">
        <v>18</v>
      </c>
      <c r="L8" s="85" t="s">
        <v>49</v>
      </c>
    </row>
    <row r="9" spans="2:14" ht="16.5" customHeight="1" x14ac:dyDescent="0.25">
      <c r="B9" s="83">
        <v>1</v>
      </c>
      <c r="C9" s="104"/>
      <c r="D9" s="104"/>
      <c r="E9" s="104"/>
      <c r="F9" s="84"/>
      <c r="G9" s="85">
        <v>2</v>
      </c>
      <c r="H9" s="85">
        <v>3</v>
      </c>
      <c r="I9" s="85">
        <v>4</v>
      </c>
      <c r="J9" s="121">
        <v>5</v>
      </c>
      <c r="K9" s="85" t="s">
        <v>20</v>
      </c>
      <c r="L9" s="85" t="s">
        <v>21</v>
      </c>
    </row>
    <row r="10" spans="2:14" s="71" customFormat="1" ht="12.75" x14ac:dyDescent="0.2">
      <c r="B10" s="96"/>
      <c r="C10" s="96"/>
      <c r="D10" s="96"/>
      <c r="E10" s="96"/>
      <c r="F10" s="96" t="s">
        <v>22</v>
      </c>
      <c r="G10" s="116">
        <f>G14+G17</f>
        <v>359154</v>
      </c>
      <c r="H10" s="116">
        <f>H14+H17</f>
        <v>627778.88</v>
      </c>
      <c r="I10" s="116">
        <f>I14+I17</f>
        <v>627778.88</v>
      </c>
      <c r="J10" s="116">
        <f>J14+J17</f>
        <v>285391</v>
      </c>
      <c r="K10" s="70">
        <f t="shared" ref="K10:K13" si="0">J10/G10*100</f>
        <v>79.462013509525164</v>
      </c>
      <c r="L10" s="70">
        <f t="shared" ref="L10:L13" si="1">J10/I10*100</f>
        <v>45.46043345707966</v>
      </c>
    </row>
    <row r="11" spans="2:14" s="71" customFormat="1" ht="15.75" customHeight="1" x14ac:dyDescent="0.2">
      <c r="B11" s="96">
        <v>6</v>
      </c>
      <c r="C11" s="96"/>
      <c r="D11" s="96"/>
      <c r="E11" s="96"/>
      <c r="F11" s="96" t="s">
        <v>2</v>
      </c>
      <c r="G11" s="116">
        <f>G12+G15</f>
        <v>359154</v>
      </c>
      <c r="H11" s="116">
        <f>H12+H15</f>
        <v>627778.88</v>
      </c>
      <c r="I11" s="116">
        <f>I12+I15</f>
        <v>627778.88</v>
      </c>
      <c r="J11" s="116">
        <f>J12+J15</f>
        <v>285391</v>
      </c>
      <c r="K11" s="70">
        <f t="shared" si="0"/>
        <v>79.462013509525164</v>
      </c>
      <c r="L11" s="70">
        <f t="shared" si="1"/>
        <v>45.46043345707966</v>
      </c>
    </row>
    <row r="12" spans="2:14" s="71" customFormat="1" ht="38.25" x14ac:dyDescent="0.2">
      <c r="B12" s="94"/>
      <c r="C12" s="94">
        <v>66</v>
      </c>
      <c r="D12" s="122"/>
      <c r="E12" s="122"/>
      <c r="F12" s="96" t="s">
        <v>82</v>
      </c>
      <c r="G12" s="116">
        <f>G13</f>
        <v>148244</v>
      </c>
      <c r="H12" s="116">
        <f>H13</f>
        <v>380914.46</v>
      </c>
      <c r="I12" s="116">
        <f>I13</f>
        <v>380914.46</v>
      </c>
      <c r="J12" s="116">
        <f>J13</f>
        <v>155382</v>
      </c>
      <c r="K12" s="70">
        <f t="shared" si="0"/>
        <v>104.81503467256685</v>
      </c>
      <c r="L12" s="70">
        <f t="shared" si="1"/>
        <v>40.791835521287375</v>
      </c>
    </row>
    <row r="13" spans="2:14" s="71" customFormat="1" ht="12.75" x14ac:dyDescent="0.2">
      <c r="B13" s="94"/>
      <c r="C13" s="94"/>
      <c r="D13" s="122">
        <v>661</v>
      </c>
      <c r="E13" s="122"/>
      <c r="F13" s="96" t="s">
        <v>23</v>
      </c>
      <c r="G13" s="116">
        <f>SUM(G14)</f>
        <v>148244</v>
      </c>
      <c r="H13" s="116">
        <f>SUM(H14)</f>
        <v>380914.46</v>
      </c>
      <c r="I13" s="116">
        <f>SUM(I14)</f>
        <v>380914.46</v>
      </c>
      <c r="J13" s="116">
        <f>SUM(J14)</f>
        <v>155382</v>
      </c>
      <c r="K13" s="70">
        <f t="shared" si="0"/>
        <v>104.81503467256685</v>
      </c>
      <c r="L13" s="70">
        <f t="shared" si="1"/>
        <v>40.791835521287375</v>
      </c>
    </row>
    <row r="14" spans="2:14" s="72" customFormat="1" ht="12.75" x14ac:dyDescent="0.2">
      <c r="B14" s="93"/>
      <c r="C14" s="94"/>
      <c r="D14" s="95"/>
      <c r="E14" s="93">
        <v>6615</v>
      </c>
      <c r="F14" s="72" t="s">
        <v>81</v>
      </c>
      <c r="G14" s="97">
        <v>148244</v>
      </c>
      <c r="H14" s="97">
        <f>ROUND(N14/7.5345,2)</f>
        <v>380914.46</v>
      </c>
      <c r="I14" s="97">
        <f>ROUND(N14/7.5345,2)</f>
        <v>380914.46</v>
      </c>
      <c r="J14" s="73">
        <v>155382</v>
      </c>
      <c r="K14" s="74">
        <f>J14/G14*100</f>
        <v>104.81503467256685</v>
      </c>
      <c r="L14" s="74">
        <f>J14/I14*100</f>
        <v>40.791835521287375</v>
      </c>
      <c r="N14" s="72">
        <v>2870000</v>
      </c>
    </row>
    <row r="15" spans="2:14" s="71" customFormat="1" ht="25.5" x14ac:dyDescent="0.2">
      <c r="B15" s="94"/>
      <c r="C15" s="94">
        <v>67</v>
      </c>
      <c r="D15" s="122"/>
      <c r="E15" s="122"/>
      <c r="F15" s="96" t="s">
        <v>83</v>
      </c>
      <c r="G15" s="116">
        <f>G16</f>
        <v>210910</v>
      </c>
      <c r="H15" s="116">
        <f>H16</f>
        <v>246864.42</v>
      </c>
      <c r="I15" s="116">
        <f>I16</f>
        <v>246864.42</v>
      </c>
      <c r="J15" s="116">
        <f>J16</f>
        <v>130009</v>
      </c>
      <c r="K15" s="70">
        <f t="shared" ref="K15:K16" si="2">J15/G15*100</f>
        <v>61.641932577876823</v>
      </c>
      <c r="L15" s="70">
        <f t="shared" ref="L15:L16" si="3">J15/I15*100</f>
        <v>52.664130375693659</v>
      </c>
    </row>
    <row r="16" spans="2:14" s="71" customFormat="1" ht="25.5" x14ac:dyDescent="0.2">
      <c r="B16" s="94"/>
      <c r="C16" s="94"/>
      <c r="D16" s="122">
        <v>671</v>
      </c>
      <c r="E16" s="122"/>
      <c r="F16" s="96" t="s">
        <v>84</v>
      </c>
      <c r="G16" s="116">
        <f>SUM(G17)</f>
        <v>210910</v>
      </c>
      <c r="H16" s="116">
        <f>SUM(H17)</f>
        <v>246864.42</v>
      </c>
      <c r="I16" s="116">
        <f>SUM(I17)</f>
        <v>246864.42</v>
      </c>
      <c r="J16" s="116">
        <f>SUM(J17)</f>
        <v>130009</v>
      </c>
      <c r="K16" s="70">
        <f t="shared" si="2"/>
        <v>61.641932577876823</v>
      </c>
      <c r="L16" s="70">
        <f t="shared" si="3"/>
        <v>52.664130375693659</v>
      </c>
    </row>
    <row r="17" spans="2:14" s="72" customFormat="1" ht="25.5" x14ac:dyDescent="0.2">
      <c r="B17" s="93"/>
      <c r="C17" s="93"/>
      <c r="D17" s="95"/>
      <c r="E17" s="93">
        <v>6711</v>
      </c>
      <c r="F17" s="103" t="s">
        <v>85</v>
      </c>
      <c r="G17" s="97">
        <v>210910</v>
      </c>
      <c r="H17" s="97">
        <f>ROUND(N17/7.5345,2)</f>
        <v>246864.42</v>
      </c>
      <c r="I17" s="97">
        <f>ROUND(N17/7.5345,2)</f>
        <v>246864.42</v>
      </c>
      <c r="J17" s="73">
        <v>130009</v>
      </c>
      <c r="K17" s="74">
        <f>J17/G17*100</f>
        <v>61.641932577876823</v>
      </c>
      <c r="L17" s="74">
        <f>J17/I17*100</f>
        <v>52.664130375693659</v>
      </c>
      <c r="N17" s="72">
        <v>1860000</v>
      </c>
    </row>
    <row r="18" spans="2:14" s="72" customFormat="1" ht="15.75" customHeight="1" x14ac:dyDescent="0.2">
      <c r="J18" s="75"/>
    </row>
    <row r="19" spans="2:14" s="72" customFormat="1" ht="38.25" x14ac:dyDescent="0.2">
      <c r="B19" s="83" t="s">
        <v>6</v>
      </c>
      <c r="C19" s="104"/>
      <c r="D19" s="104"/>
      <c r="E19" s="104"/>
      <c r="F19" s="84"/>
      <c r="G19" s="85" t="s">
        <v>59</v>
      </c>
      <c r="H19" s="85" t="s">
        <v>128</v>
      </c>
      <c r="I19" s="85" t="s">
        <v>130</v>
      </c>
      <c r="J19" s="121" t="s">
        <v>60</v>
      </c>
      <c r="K19" s="85" t="s">
        <v>18</v>
      </c>
      <c r="L19" s="85" t="s">
        <v>49</v>
      </c>
    </row>
    <row r="20" spans="2:14" s="72" customFormat="1" ht="12.75" customHeight="1" x14ac:dyDescent="0.2">
      <c r="B20" s="83">
        <v>1</v>
      </c>
      <c r="C20" s="104"/>
      <c r="D20" s="104"/>
      <c r="E20" s="104"/>
      <c r="F20" s="84"/>
      <c r="G20" s="85">
        <v>2</v>
      </c>
      <c r="H20" s="85">
        <v>3</v>
      </c>
      <c r="I20" s="85">
        <v>4</v>
      </c>
      <c r="J20" s="121">
        <v>5</v>
      </c>
      <c r="K20" s="85" t="s">
        <v>20</v>
      </c>
      <c r="L20" s="85" t="s">
        <v>21</v>
      </c>
    </row>
    <row r="21" spans="2:14" s="71" customFormat="1" ht="12.75" x14ac:dyDescent="0.2">
      <c r="B21" s="96"/>
      <c r="C21" s="96"/>
      <c r="D21" s="96"/>
      <c r="E21" s="96"/>
      <c r="F21" s="96" t="s">
        <v>7</v>
      </c>
      <c r="G21" s="116">
        <f>G25+G27+G32+G34+G36+G37+G38+G39+G42+G43+G44+G45+G48+G50+G52+G55+G58+G63+G64</f>
        <v>248065</v>
      </c>
      <c r="H21" s="116">
        <f>H25+H27+H32+H34+H36+H37+H38+H39+H42+H43+H44+H45+H48+H50+H52+H55+H58+H63+H64</f>
        <v>627778.89</v>
      </c>
      <c r="I21" s="116">
        <f>H21</f>
        <v>627778.89</v>
      </c>
      <c r="J21" s="116">
        <f>J25+J27+J32+J34+J36+J37+J38+J39+J42+J43+J44+J45+J48+J50+J52+J55+J58+J63+J64</f>
        <v>176205</v>
      </c>
      <c r="K21" s="74">
        <f>IF(G21&lt;&gt; 0,J21/G21*100,0)</f>
        <v>71.031786023824409</v>
      </c>
      <c r="L21" s="74">
        <f>J21/I21*100</f>
        <v>28.068003369785178</v>
      </c>
    </row>
    <row r="22" spans="2:14" s="71" customFormat="1" ht="12.75" x14ac:dyDescent="0.2">
      <c r="B22" s="96">
        <v>3</v>
      </c>
      <c r="C22" s="96"/>
      <c r="D22" s="96"/>
      <c r="E22" s="96"/>
      <c r="F22" s="96" t="s">
        <v>3</v>
      </c>
      <c r="G22" s="116">
        <f>G23+G30+G56</f>
        <v>266600</v>
      </c>
      <c r="H22" s="116">
        <f>H23+H30+H56</f>
        <v>618488.28999999992</v>
      </c>
      <c r="I22" s="116">
        <f t="shared" ref="I22:I64" si="4">H22</f>
        <v>618488.28999999992</v>
      </c>
      <c r="J22" s="116">
        <f>J23+J30+J56</f>
        <v>197866</v>
      </c>
      <c r="K22" s="74">
        <f t="shared" ref="K22:K64" si="5">IF(G22&lt;&gt; 0,J22/G22*100,0)</f>
        <v>74.218304576144035</v>
      </c>
      <c r="L22" s="74">
        <f t="shared" ref="L22:L27" si="6">J22/I22*100</f>
        <v>31.991874898714741</v>
      </c>
    </row>
    <row r="23" spans="2:14" s="71" customFormat="1" ht="12.75" x14ac:dyDescent="0.2">
      <c r="B23" s="96"/>
      <c r="C23" s="96">
        <v>31</v>
      </c>
      <c r="D23" s="96"/>
      <c r="E23" s="96"/>
      <c r="F23" s="96" t="s">
        <v>4</v>
      </c>
      <c r="G23" s="116">
        <f>G24+G26+G28</f>
        <v>96563</v>
      </c>
      <c r="H23" s="116">
        <f>H24+H26</f>
        <v>257482.24000000002</v>
      </c>
      <c r="I23" s="116">
        <f t="shared" si="4"/>
        <v>257482.24000000002</v>
      </c>
      <c r="J23" s="116">
        <f>J24+J26+J28</f>
        <v>126271</v>
      </c>
      <c r="K23" s="74">
        <f t="shared" si="5"/>
        <v>130.76540703996355</v>
      </c>
      <c r="L23" s="74">
        <f t="shared" si="6"/>
        <v>49.040663930840431</v>
      </c>
    </row>
    <row r="24" spans="2:14" s="71" customFormat="1" ht="12.75" x14ac:dyDescent="0.2">
      <c r="B24" s="94"/>
      <c r="C24" s="94"/>
      <c r="D24" s="94">
        <v>311</v>
      </c>
      <c r="E24" s="94"/>
      <c r="F24" s="94" t="s">
        <v>25</v>
      </c>
      <c r="G24" s="116">
        <f>SUM(G25)</f>
        <v>80494</v>
      </c>
      <c r="H24" s="116">
        <f>SUM(H25)</f>
        <v>246864.42</v>
      </c>
      <c r="I24" s="116">
        <f t="shared" si="4"/>
        <v>246864.42</v>
      </c>
      <c r="J24" s="116">
        <f>J25</f>
        <v>106936</v>
      </c>
      <c r="K24" s="74">
        <f t="shared" si="5"/>
        <v>132.84965339031481</v>
      </c>
      <c r="L24" s="74">
        <f t="shared" si="6"/>
        <v>43.317704511650561</v>
      </c>
    </row>
    <row r="25" spans="2:14" s="72" customFormat="1" ht="12.75" x14ac:dyDescent="0.2">
      <c r="B25" s="93"/>
      <c r="C25" s="93"/>
      <c r="D25" s="93"/>
      <c r="E25" s="93">
        <v>3111</v>
      </c>
      <c r="F25" s="93" t="s">
        <v>26</v>
      </c>
      <c r="G25" s="97">
        <v>80494</v>
      </c>
      <c r="H25" s="97">
        <f>ROUND(N25/7.5345,2)</f>
        <v>246864.42</v>
      </c>
      <c r="I25" s="97">
        <f t="shared" si="4"/>
        <v>246864.42</v>
      </c>
      <c r="J25" s="73">
        <v>106936</v>
      </c>
      <c r="K25" s="74">
        <f t="shared" si="5"/>
        <v>132.84965339031481</v>
      </c>
      <c r="L25" s="74">
        <f t="shared" si="6"/>
        <v>43.317704511650561</v>
      </c>
      <c r="N25" s="72">
        <v>1860000</v>
      </c>
    </row>
    <row r="26" spans="2:14" s="71" customFormat="1" ht="12.75" x14ac:dyDescent="0.2">
      <c r="B26" s="94"/>
      <c r="C26" s="94"/>
      <c r="D26" s="94">
        <v>312</v>
      </c>
      <c r="E26" s="94"/>
      <c r="F26" s="94" t="s">
        <v>72</v>
      </c>
      <c r="G26" s="116">
        <f>SUM(G27)</f>
        <v>2787</v>
      </c>
      <c r="H26" s="116">
        <f>SUM(H27)</f>
        <v>10617.82</v>
      </c>
      <c r="I26" s="116">
        <f t="shared" si="4"/>
        <v>10617.82</v>
      </c>
      <c r="J26" s="76">
        <f>J27</f>
        <v>1690</v>
      </c>
      <c r="K26" s="74">
        <f t="shared" si="5"/>
        <v>60.638679583781837</v>
      </c>
      <c r="L26" s="74">
        <f t="shared" si="6"/>
        <v>15.916638255310412</v>
      </c>
    </row>
    <row r="27" spans="2:14" s="72" customFormat="1" ht="12.75" x14ac:dyDescent="0.2">
      <c r="B27" s="93"/>
      <c r="C27" s="93"/>
      <c r="D27" s="93"/>
      <c r="E27" s="93">
        <v>3121</v>
      </c>
      <c r="F27" s="93" t="s">
        <v>72</v>
      </c>
      <c r="G27" s="97">
        <v>2787</v>
      </c>
      <c r="H27" s="97">
        <f>ROUND(N27/7.5345,2)</f>
        <v>10617.82</v>
      </c>
      <c r="I27" s="97">
        <f t="shared" si="4"/>
        <v>10617.82</v>
      </c>
      <c r="J27" s="73">
        <v>1690</v>
      </c>
      <c r="K27" s="74">
        <f t="shared" si="5"/>
        <v>60.638679583781837</v>
      </c>
      <c r="L27" s="74">
        <f t="shared" si="6"/>
        <v>15.916638255310412</v>
      </c>
      <c r="N27" s="72">
        <v>80000</v>
      </c>
    </row>
    <row r="28" spans="2:14" s="71" customFormat="1" ht="12.75" x14ac:dyDescent="0.2">
      <c r="B28" s="94"/>
      <c r="C28" s="94"/>
      <c r="D28" s="94">
        <v>313</v>
      </c>
      <c r="E28" s="94"/>
      <c r="F28" s="94" t="s">
        <v>102</v>
      </c>
      <c r="G28" s="116">
        <f>G29</f>
        <v>13282</v>
      </c>
      <c r="H28" s="116">
        <f t="shared" ref="H28:J28" si="7">H29</f>
        <v>0</v>
      </c>
      <c r="I28" s="116">
        <f t="shared" si="7"/>
        <v>0</v>
      </c>
      <c r="J28" s="116">
        <f t="shared" si="7"/>
        <v>17645</v>
      </c>
      <c r="K28" s="74">
        <f t="shared" si="5"/>
        <v>132.848968528836</v>
      </c>
      <c r="L28" s="74">
        <f>IF(I28&lt;&gt;0,J28/I28*100,0)</f>
        <v>0</v>
      </c>
    </row>
    <row r="29" spans="2:14" s="72" customFormat="1" ht="12.75" x14ac:dyDescent="0.2">
      <c r="B29" s="93"/>
      <c r="C29" s="93"/>
      <c r="D29" s="93"/>
      <c r="E29" s="93">
        <v>3132</v>
      </c>
      <c r="F29" s="93" t="s">
        <v>101</v>
      </c>
      <c r="G29" s="97">
        <v>13282</v>
      </c>
      <c r="H29" s="74"/>
      <c r="I29" s="74"/>
      <c r="J29" s="73">
        <v>17645</v>
      </c>
      <c r="K29" s="74">
        <f t="shared" si="5"/>
        <v>132.848968528836</v>
      </c>
      <c r="L29" s="74">
        <f t="shared" ref="L29:L64" si="8">IF(I29&lt;&gt;0,J29/I29*100,0)</f>
        <v>0</v>
      </c>
    </row>
    <row r="30" spans="2:14" s="71" customFormat="1" ht="12.75" x14ac:dyDescent="0.2">
      <c r="B30" s="94"/>
      <c r="C30" s="94">
        <v>32</v>
      </c>
      <c r="D30" s="122"/>
      <c r="E30" s="122"/>
      <c r="F30" s="94" t="s">
        <v>14</v>
      </c>
      <c r="G30" s="116">
        <f>G31+G35+G41+G51+G54</f>
        <v>169146</v>
      </c>
      <c r="H30" s="116">
        <f>H31+H35+H41+H51+H54</f>
        <v>359015.20999999996</v>
      </c>
      <c r="I30" s="116">
        <f t="shared" si="4"/>
        <v>359015.20999999996</v>
      </c>
      <c r="J30" s="116">
        <f>J31+J35+J41+J51+J54</f>
        <v>71054</v>
      </c>
      <c r="K30" s="74">
        <f t="shared" si="5"/>
        <v>42.007496482328875</v>
      </c>
      <c r="L30" s="74">
        <f t="shared" si="8"/>
        <v>19.791362042850498</v>
      </c>
    </row>
    <row r="31" spans="2:14" s="71" customFormat="1" ht="12.75" x14ac:dyDescent="0.2">
      <c r="B31" s="94"/>
      <c r="C31" s="94"/>
      <c r="D31" s="94">
        <v>321</v>
      </c>
      <c r="E31" s="94"/>
      <c r="F31" s="94" t="s">
        <v>27</v>
      </c>
      <c r="G31" s="116">
        <f>SUM(G32:G34)</f>
        <v>6624</v>
      </c>
      <c r="H31" s="116">
        <f>SUM(H32:H34)</f>
        <v>15926.740000000002</v>
      </c>
      <c r="I31" s="116">
        <f t="shared" si="4"/>
        <v>15926.740000000002</v>
      </c>
      <c r="J31" s="116">
        <f>SUM(J32:J34)</f>
        <v>3616</v>
      </c>
      <c r="K31" s="74">
        <f t="shared" si="5"/>
        <v>54.589371980676326</v>
      </c>
      <c r="L31" s="74">
        <f t="shared" si="8"/>
        <v>22.703955737332308</v>
      </c>
    </row>
    <row r="32" spans="2:14" s="72" customFormat="1" ht="12.75" x14ac:dyDescent="0.2">
      <c r="B32" s="93"/>
      <c r="C32" s="94"/>
      <c r="D32" s="93"/>
      <c r="E32" s="93">
        <v>3211</v>
      </c>
      <c r="F32" s="106" t="s">
        <v>28</v>
      </c>
      <c r="G32" s="97">
        <v>1125</v>
      </c>
      <c r="H32" s="97">
        <f>ROUND(N32/7.5345,2)</f>
        <v>13272.28</v>
      </c>
      <c r="I32" s="97">
        <f t="shared" si="4"/>
        <v>13272.28</v>
      </c>
      <c r="J32" s="73">
        <v>56</v>
      </c>
      <c r="K32" s="74">
        <f t="shared" si="5"/>
        <v>4.9777777777777779</v>
      </c>
      <c r="L32" s="74">
        <f t="shared" si="8"/>
        <v>0.42193202675049046</v>
      </c>
      <c r="N32" s="72">
        <v>100000</v>
      </c>
    </row>
    <row r="33" spans="2:14" s="72" customFormat="1" ht="12.75" x14ac:dyDescent="0.2">
      <c r="B33" s="93"/>
      <c r="C33" s="94"/>
      <c r="D33" s="93"/>
      <c r="E33" s="93">
        <v>3212</v>
      </c>
      <c r="F33" s="106" t="s">
        <v>103</v>
      </c>
      <c r="G33" s="97">
        <v>2353</v>
      </c>
      <c r="H33" s="74"/>
      <c r="I33" s="74"/>
      <c r="J33" s="73">
        <v>3536</v>
      </c>
      <c r="K33" s="74">
        <f t="shared" si="5"/>
        <v>150.27624309392266</v>
      </c>
      <c r="L33" s="74">
        <f t="shared" si="8"/>
        <v>0</v>
      </c>
    </row>
    <row r="34" spans="2:14" s="72" customFormat="1" ht="12.75" x14ac:dyDescent="0.2">
      <c r="B34" s="93"/>
      <c r="C34" s="94"/>
      <c r="D34" s="95"/>
      <c r="E34" s="93">
        <v>3213</v>
      </c>
      <c r="F34" s="93" t="s">
        <v>86</v>
      </c>
      <c r="G34" s="97">
        <v>3146</v>
      </c>
      <c r="H34" s="97">
        <f>ROUND(N34/7.5345,2)</f>
        <v>2654.46</v>
      </c>
      <c r="I34" s="97">
        <f t="shared" si="4"/>
        <v>2654.46</v>
      </c>
      <c r="J34" s="73">
        <v>24</v>
      </c>
      <c r="K34" s="74">
        <f t="shared" si="5"/>
        <v>0.76287349014621741</v>
      </c>
      <c r="L34" s="74">
        <f t="shared" si="8"/>
        <v>0.9041386948757939</v>
      </c>
      <c r="N34" s="72">
        <v>20000</v>
      </c>
    </row>
    <row r="35" spans="2:14" s="71" customFormat="1" ht="12.75" x14ac:dyDescent="0.2">
      <c r="B35" s="94"/>
      <c r="C35" s="94"/>
      <c r="D35" s="122">
        <v>322</v>
      </c>
      <c r="E35" s="94"/>
      <c r="F35" s="94" t="s">
        <v>87</v>
      </c>
      <c r="G35" s="116">
        <f>SUM(G36:G40)</f>
        <v>99538</v>
      </c>
      <c r="H35" s="116">
        <f>SUM(H36:H39)</f>
        <v>249518.87999999998</v>
      </c>
      <c r="I35" s="116">
        <f t="shared" si="4"/>
        <v>249518.87999999998</v>
      </c>
      <c r="J35" s="116">
        <f>SUM(J36:J40)</f>
        <v>20462</v>
      </c>
      <c r="K35" s="74">
        <f t="shared" si="5"/>
        <v>20.556973216259117</v>
      </c>
      <c r="L35" s="74">
        <f t="shared" si="8"/>
        <v>8.2005818557697925</v>
      </c>
    </row>
    <row r="36" spans="2:14" s="72" customFormat="1" ht="12.75" x14ac:dyDescent="0.2">
      <c r="B36" s="93"/>
      <c r="C36" s="94"/>
      <c r="D36" s="95"/>
      <c r="E36" s="93">
        <v>3221</v>
      </c>
      <c r="F36" s="93" t="s">
        <v>88</v>
      </c>
      <c r="G36" s="97">
        <v>4265</v>
      </c>
      <c r="H36" s="97">
        <f>ROUND(N36/7.5345,2)</f>
        <v>1327.23</v>
      </c>
      <c r="I36" s="97">
        <f t="shared" si="4"/>
        <v>1327.23</v>
      </c>
      <c r="J36" s="73">
        <v>5261</v>
      </c>
      <c r="K36" s="74">
        <f t="shared" si="5"/>
        <v>123.35287221570925</v>
      </c>
      <c r="L36" s="74">
        <f t="shared" si="8"/>
        <v>396.389472811796</v>
      </c>
      <c r="N36" s="72">
        <f>10000</f>
        <v>10000</v>
      </c>
    </row>
    <row r="37" spans="2:14" s="72" customFormat="1" ht="12.75" x14ac:dyDescent="0.2">
      <c r="B37" s="93"/>
      <c r="C37" s="94"/>
      <c r="D37" s="95"/>
      <c r="E37" s="93">
        <v>3222</v>
      </c>
      <c r="F37" s="93" t="s">
        <v>89</v>
      </c>
      <c r="G37" s="97">
        <v>39669</v>
      </c>
      <c r="H37" s="97">
        <f>ROUND(N37/7.5345,2)</f>
        <v>172539.65</v>
      </c>
      <c r="I37" s="97">
        <f t="shared" si="4"/>
        <v>172539.65</v>
      </c>
      <c r="J37" s="73"/>
      <c r="K37" s="74">
        <f t="shared" si="5"/>
        <v>0</v>
      </c>
      <c r="L37" s="74">
        <f t="shared" si="8"/>
        <v>0</v>
      </c>
      <c r="N37" s="72">
        <v>1300000</v>
      </c>
    </row>
    <row r="38" spans="2:14" s="72" customFormat="1" ht="12.75" x14ac:dyDescent="0.2">
      <c r="B38" s="93"/>
      <c r="C38" s="94"/>
      <c r="D38" s="95"/>
      <c r="E38" s="93">
        <v>3223</v>
      </c>
      <c r="F38" s="93" t="s">
        <v>90</v>
      </c>
      <c r="G38" s="97">
        <v>48985</v>
      </c>
      <c r="H38" s="97">
        <f>ROUND(N38/7.5345,2)</f>
        <v>72997.539999999994</v>
      </c>
      <c r="I38" s="97">
        <f t="shared" si="4"/>
        <v>72997.539999999994</v>
      </c>
      <c r="J38" s="73">
        <v>13127</v>
      </c>
      <c r="K38" s="74">
        <f t="shared" si="5"/>
        <v>26.797999387567621</v>
      </c>
      <c r="L38" s="74">
        <f t="shared" si="8"/>
        <v>17.982797776473017</v>
      </c>
      <c r="N38" s="72">
        <f>350000+200000</f>
        <v>550000</v>
      </c>
    </row>
    <row r="39" spans="2:14" s="72" customFormat="1" ht="12.75" x14ac:dyDescent="0.2">
      <c r="B39" s="93"/>
      <c r="C39" s="94"/>
      <c r="D39" s="95"/>
      <c r="E39" s="93">
        <v>3224</v>
      </c>
      <c r="F39" s="93" t="s">
        <v>91</v>
      </c>
      <c r="G39" s="97">
        <f>2792+3472</f>
        <v>6264</v>
      </c>
      <c r="H39" s="97">
        <f>ROUND(N39/7.5345,2)</f>
        <v>2654.46</v>
      </c>
      <c r="I39" s="97">
        <f t="shared" si="4"/>
        <v>2654.46</v>
      </c>
      <c r="J39" s="73">
        <f>57+1804</f>
        <v>1861</v>
      </c>
      <c r="K39" s="74">
        <f t="shared" si="5"/>
        <v>29.709450830140486</v>
      </c>
      <c r="L39" s="74">
        <f t="shared" si="8"/>
        <v>70.108421298493852</v>
      </c>
      <c r="N39" s="72">
        <v>20000</v>
      </c>
    </row>
    <row r="40" spans="2:14" s="72" customFormat="1" ht="12.75" x14ac:dyDescent="0.2">
      <c r="B40" s="93"/>
      <c r="C40" s="94"/>
      <c r="D40" s="95"/>
      <c r="E40" s="93">
        <v>3227</v>
      </c>
      <c r="F40" s="93" t="s">
        <v>104</v>
      </c>
      <c r="G40" s="97">
        <v>355</v>
      </c>
      <c r="H40" s="97"/>
      <c r="I40" s="97"/>
      <c r="J40" s="73">
        <v>213</v>
      </c>
      <c r="K40" s="74">
        <f t="shared" si="5"/>
        <v>60</v>
      </c>
      <c r="L40" s="74">
        <f t="shared" si="8"/>
        <v>0</v>
      </c>
    </row>
    <row r="41" spans="2:14" s="71" customFormat="1" ht="12.75" x14ac:dyDescent="0.2">
      <c r="B41" s="94"/>
      <c r="C41" s="94"/>
      <c r="D41" s="122">
        <v>323</v>
      </c>
      <c r="E41" s="94"/>
      <c r="F41" s="94" t="s">
        <v>92</v>
      </c>
      <c r="G41" s="116">
        <f>SUM(G42:G50)</f>
        <v>61212</v>
      </c>
      <c r="H41" s="116">
        <f>SUM(H42:H50)</f>
        <v>72333.94</v>
      </c>
      <c r="I41" s="116">
        <f t="shared" si="4"/>
        <v>72333.94</v>
      </c>
      <c r="J41" s="116">
        <f>SUM(J42:J50)</f>
        <v>41758</v>
      </c>
      <c r="K41" s="74">
        <f t="shared" si="5"/>
        <v>68.218649937920674</v>
      </c>
      <c r="L41" s="74">
        <f t="shared" si="8"/>
        <v>57.729469734401306</v>
      </c>
    </row>
    <row r="42" spans="2:14" s="72" customFormat="1" ht="12.75" x14ac:dyDescent="0.2">
      <c r="B42" s="93"/>
      <c r="C42" s="94"/>
      <c r="D42" s="95"/>
      <c r="E42" s="93">
        <v>3231</v>
      </c>
      <c r="F42" s="93" t="s">
        <v>74</v>
      </c>
      <c r="G42" s="97">
        <v>4249</v>
      </c>
      <c r="H42" s="97">
        <f>ROUND(N42/7.5345,2)</f>
        <v>5972.53</v>
      </c>
      <c r="I42" s="97">
        <f t="shared" si="4"/>
        <v>5972.53</v>
      </c>
      <c r="J42" s="73">
        <v>1867</v>
      </c>
      <c r="K42" s="74">
        <f t="shared" si="5"/>
        <v>43.939750529536362</v>
      </c>
      <c r="L42" s="74">
        <f t="shared" si="8"/>
        <v>31.259784379484074</v>
      </c>
      <c r="N42" s="72">
        <v>45000</v>
      </c>
    </row>
    <row r="43" spans="2:14" s="72" customFormat="1" ht="12.75" x14ac:dyDescent="0.2">
      <c r="B43" s="93"/>
      <c r="C43" s="94"/>
      <c r="D43" s="95"/>
      <c r="E43" s="93">
        <v>3232</v>
      </c>
      <c r="F43" s="93" t="s">
        <v>75</v>
      </c>
      <c r="G43" s="97">
        <v>14705</v>
      </c>
      <c r="H43" s="97">
        <f>ROUND(N43/7.5345,2)</f>
        <v>7963.37</v>
      </c>
      <c r="I43" s="97">
        <f t="shared" si="4"/>
        <v>7963.37</v>
      </c>
      <c r="J43" s="73">
        <v>9813</v>
      </c>
      <c r="K43" s="74">
        <f t="shared" si="5"/>
        <v>66.732403944236651</v>
      </c>
      <c r="L43" s="74">
        <f t="shared" si="8"/>
        <v>123.22672436418249</v>
      </c>
      <c r="N43" s="72">
        <f>50000+10000</f>
        <v>60000</v>
      </c>
    </row>
    <row r="44" spans="2:14" s="72" customFormat="1" ht="12.75" x14ac:dyDescent="0.2">
      <c r="B44" s="93"/>
      <c r="C44" s="94"/>
      <c r="D44" s="95"/>
      <c r="E44" s="93">
        <v>3233</v>
      </c>
      <c r="F44" s="93" t="s">
        <v>76</v>
      </c>
      <c r="G44" s="97">
        <v>5112</v>
      </c>
      <c r="H44" s="97">
        <f>ROUND(N44/7.5345,2)</f>
        <v>13272.28</v>
      </c>
      <c r="I44" s="97">
        <f t="shared" si="4"/>
        <v>13272.28</v>
      </c>
      <c r="J44" s="73">
        <v>2040</v>
      </c>
      <c r="K44" s="74">
        <f t="shared" si="5"/>
        <v>39.906103286384976</v>
      </c>
      <c r="L44" s="74">
        <f t="shared" si="8"/>
        <v>15.370380974482153</v>
      </c>
      <c r="N44" s="72">
        <v>100000</v>
      </c>
    </row>
    <row r="45" spans="2:14" s="72" customFormat="1" ht="12.75" x14ac:dyDescent="0.2">
      <c r="B45" s="93"/>
      <c r="C45" s="94"/>
      <c r="D45" s="95"/>
      <c r="E45" s="93">
        <v>3234</v>
      </c>
      <c r="F45" s="93" t="s">
        <v>79</v>
      </c>
      <c r="G45" s="97">
        <v>10250</v>
      </c>
      <c r="H45" s="97">
        <f>ROUND(N45/7.5345,2)</f>
        <v>7963.37</v>
      </c>
      <c r="I45" s="97">
        <f t="shared" si="4"/>
        <v>7963.37</v>
      </c>
      <c r="J45" s="73">
        <v>12849</v>
      </c>
      <c r="K45" s="74">
        <f t="shared" si="5"/>
        <v>125.35609756097561</v>
      </c>
      <c r="L45" s="74">
        <f t="shared" si="8"/>
        <v>161.35128720629584</v>
      </c>
      <c r="N45" s="72">
        <v>60000</v>
      </c>
    </row>
    <row r="46" spans="2:14" s="72" customFormat="1" ht="12.75" x14ac:dyDescent="0.2">
      <c r="B46" s="93"/>
      <c r="C46" s="94"/>
      <c r="D46" s="95"/>
      <c r="E46" s="93">
        <v>3235</v>
      </c>
      <c r="F46" s="93" t="s">
        <v>105</v>
      </c>
      <c r="G46" s="97">
        <v>5032</v>
      </c>
      <c r="H46" s="97"/>
      <c r="I46" s="97"/>
      <c r="J46" s="73">
        <v>908</v>
      </c>
      <c r="K46" s="74">
        <f t="shared" si="5"/>
        <v>18.044515103338632</v>
      </c>
      <c r="L46" s="74">
        <f t="shared" si="8"/>
        <v>0</v>
      </c>
    </row>
    <row r="47" spans="2:14" s="72" customFormat="1" ht="12.75" x14ac:dyDescent="0.2">
      <c r="B47" s="93"/>
      <c r="C47" s="94"/>
      <c r="D47" s="95"/>
      <c r="E47" s="93">
        <v>3236</v>
      </c>
      <c r="F47" s="93" t="s">
        <v>106</v>
      </c>
      <c r="G47" s="97">
        <v>231</v>
      </c>
      <c r="H47" s="97"/>
      <c r="I47" s="97"/>
      <c r="J47" s="73">
        <v>358</v>
      </c>
      <c r="K47" s="74">
        <f t="shared" si="5"/>
        <v>154.97835497835496</v>
      </c>
      <c r="L47" s="74">
        <f t="shared" si="8"/>
        <v>0</v>
      </c>
    </row>
    <row r="48" spans="2:14" s="72" customFormat="1" ht="12.75" x14ac:dyDescent="0.2">
      <c r="B48" s="93"/>
      <c r="C48" s="94"/>
      <c r="D48" s="95"/>
      <c r="E48" s="93">
        <v>3237</v>
      </c>
      <c r="F48" s="93" t="s">
        <v>93</v>
      </c>
      <c r="G48" s="97">
        <v>19073</v>
      </c>
      <c r="H48" s="97">
        <f>ROUND(N48/7.5345,2)</f>
        <v>2654.46</v>
      </c>
      <c r="I48" s="97">
        <f t="shared" si="4"/>
        <v>2654.46</v>
      </c>
      <c r="J48" s="73">
        <v>10861</v>
      </c>
      <c r="K48" s="74">
        <f t="shared" si="5"/>
        <v>56.944371624809939</v>
      </c>
      <c r="L48" s="74">
        <f t="shared" si="8"/>
        <v>409.16043187691662</v>
      </c>
      <c r="N48" s="72">
        <v>20000</v>
      </c>
    </row>
    <row r="49" spans="2:14" s="72" customFormat="1" ht="12.75" x14ac:dyDescent="0.2">
      <c r="B49" s="93"/>
      <c r="C49" s="94"/>
      <c r="D49" s="95"/>
      <c r="E49" s="93">
        <v>3238</v>
      </c>
      <c r="F49" s="93" t="s">
        <v>107</v>
      </c>
      <c r="G49" s="97">
        <v>199</v>
      </c>
      <c r="H49" s="97"/>
      <c r="I49" s="97"/>
      <c r="J49" s="73">
        <v>149</v>
      </c>
      <c r="K49" s="74">
        <f t="shared" si="5"/>
        <v>74.874371859296488</v>
      </c>
      <c r="L49" s="74">
        <f t="shared" si="8"/>
        <v>0</v>
      </c>
    </row>
    <row r="50" spans="2:14" s="72" customFormat="1" ht="12.75" x14ac:dyDescent="0.2">
      <c r="B50" s="93"/>
      <c r="C50" s="94"/>
      <c r="D50" s="95"/>
      <c r="E50" s="93">
        <v>3239</v>
      </c>
      <c r="F50" s="93" t="s">
        <v>78</v>
      </c>
      <c r="G50" s="97">
        <f>2157+204+0</f>
        <v>2361</v>
      </c>
      <c r="H50" s="97">
        <f>ROUND(N50/7.5345,2)</f>
        <v>34507.93</v>
      </c>
      <c r="I50" s="97">
        <f t="shared" si="4"/>
        <v>34507.93</v>
      </c>
      <c r="J50" s="73">
        <f>2702+121+90</f>
        <v>2913</v>
      </c>
      <c r="K50" s="74">
        <f t="shared" si="5"/>
        <v>123.37992376111816</v>
      </c>
      <c r="L50" s="74">
        <f t="shared" si="8"/>
        <v>8.4415379305568319</v>
      </c>
      <c r="N50" s="72">
        <f>40000+220000</f>
        <v>260000</v>
      </c>
    </row>
    <row r="51" spans="2:14" s="71" customFormat="1" ht="12.75" x14ac:dyDescent="0.2">
      <c r="B51" s="94"/>
      <c r="C51" s="94"/>
      <c r="D51" s="122">
        <v>329</v>
      </c>
      <c r="E51" s="94"/>
      <c r="F51" s="94" t="s">
        <v>94</v>
      </c>
      <c r="G51" s="116">
        <f>SUM(G52:G53)</f>
        <v>1772</v>
      </c>
      <c r="H51" s="116">
        <f t="shared" ref="H51:J51" si="9">SUM(H52:H53)</f>
        <v>1327.23</v>
      </c>
      <c r="I51" s="116">
        <f t="shared" si="9"/>
        <v>1327.23</v>
      </c>
      <c r="J51" s="116">
        <f t="shared" si="9"/>
        <v>5218</v>
      </c>
      <c r="K51" s="74">
        <f t="shared" si="5"/>
        <v>294.46952595936796</v>
      </c>
      <c r="L51" s="74">
        <f t="shared" si="8"/>
        <v>393.14964248849105</v>
      </c>
    </row>
    <row r="52" spans="2:14" s="72" customFormat="1" ht="12.75" x14ac:dyDescent="0.2">
      <c r="B52" s="93"/>
      <c r="C52" s="94"/>
      <c r="D52" s="95"/>
      <c r="E52" s="93">
        <v>3292</v>
      </c>
      <c r="F52" s="93" t="s">
        <v>77</v>
      </c>
      <c r="G52" s="97">
        <v>976</v>
      </c>
      <c r="H52" s="97">
        <f>ROUND(N52/7.5345,2)</f>
        <v>1327.23</v>
      </c>
      <c r="I52" s="97">
        <f t="shared" si="4"/>
        <v>1327.23</v>
      </c>
      <c r="J52" s="73">
        <v>3258</v>
      </c>
      <c r="K52" s="74">
        <f t="shared" si="5"/>
        <v>333.81147540983608</v>
      </c>
      <c r="L52" s="74">
        <f t="shared" si="8"/>
        <v>245.47365565877803</v>
      </c>
      <c r="N52" s="72">
        <v>10000</v>
      </c>
    </row>
    <row r="53" spans="2:14" s="72" customFormat="1" ht="12.75" x14ac:dyDescent="0.2">
      <c r="B53" s="93"/>
      <c r="C53" s="94"/>
      <c r="D53" s="95"/>
      <c r="E53" s="93">
        <v>3295</v>
      </c>
      <c r="F53" s="93" t="s">
        <v>108</v>
      </c>
      <c r="G53" s="97">
        <v>796</v>
      </c>
      <c r="H53" s="97"/>
      <c r="I53" s="97"/>
      <c r="J53" s="73">
        <v>1960</v>
      </c>
      <c r="K53" s="74">
        <f t="shared" si="5"/>
        <v>246.23115577889445</v>
      </c>
      <c r="L53" s="74">
        <f t="shared" si="8"/>
        <v>0</v>
      </c>
    </row>
    <row r="54" spans="2:14" s="71" customFormat="1" ht="12.75" x14ac:dyDescent="0.2">
      <c r="B54" s="94"/>
      <c r="C54" s="94"/>
      <c r="D54" s="122">
        <v>324</v>
      </c>
      <c r="E54" s="94"/>
      <c r="F54" s="94" t="s">
        <v>73</v>
      </c>
      <c r="G54" s="116">
        <f>SUM(G55)</f>
        <v>0</v>
      </c>
      <c r="H54" s="116">
        <f>SUM(H55)</f>
        <v>19908.419999999998</v>
      </c>
      <c r="I54" s="116">
        <f t="shared" si="4"/>
        <v>19908.419999999998</v>
      </c>
      <c r="J54" s="76"/>
      <c r="K54" s="74">
        <f t="shared" si="5"/>
        <v>0</v>
      </c>
      <c r="L54" s="74">
        <f t="shared" si="8"/>
        <v>0</v>
      </c>
    </row>
    <row r="55" spans="2:14" s="72" customFormat="1" ht="12.75" x14ac:dyDescent="0.2">
      <c r="B55" s="93"/>
      <c r="C55" s="94"/>
      <c r="D55" s="95"/>
      <c r="E55" s="93">
        <v>3241</v>
      </c>
      <c r="F55" s="93" t="s">
        <v>73</v>
      </c>
      <c r="G55" s="97"/>
      <c r="H55" s="97">
        <f>ROUND(N55/7.5345,2)</f>
        <v>19908.419999999998</v>
      </c>
      <c r="I55" s="97">
        <f t="shared" si="4"/>
        <v>19908.419999999998</v>
      </c>
      <c r="J55" s="73"/>
      <c r="K55" s="74">
        <f t="shared" si="5"/>
        <v>0</v>
      </c>
      <c r="L55" s="74">
        <f t="shared" si="8"/>
        <v>0</v>
      </c>
      <c r="N55" s="72">
        <v>150000</v>
      </c>
    </row>
    <row r="56" spans="2:14" s="71" customFormat="1" ht="12.75" x14ac:dyDescent="0.2">
      <c r="B56" s="94"/>
      <c r="C56" s="94">
        <v>34</v>
      </c>
      <c r="D56" s="122"/>
      <c r="E56" s="94"/>
      <c r="F56" s="94" t="s">
        <v>95</v>
      </c>
      <c r="G56" s="116">
        <f>G57</f>
        <v>891</v>
      </c>
      <c r="H56" s="116">
        <f>H57</f>
        <v>1990.84</v>
      </c>
      <c r="I56" s="116">
        <f t="shared" si="4"/>
        <v>1990.84</v>
      </c>
      <c r="J56" s="116">
        <f>J57</f>
        <v>541</v>
      </c>
      <c r="K56" s="70">
        <f t="shared" si="5"/>
        <v>60.718294051627389</v>
      </c>
      <c r="L56" s="70">
        <f t="shared" si="8"/>
        <v>27.174459022322239</v>
      </c>
    </row>
    <row r="57" spans="2:14" s="71" customFormat="1" ht="12.75" x14ac:dyDescent="0.2">
      <c r="B57" s="94"/>
      <c r="C57" s="94"/>
      <c r="D57" s="122">
        <v>343</v>
      </c>
      <c r="E57" s="94"/>
      <c r="F57" s="94" t="s">
        <v>96</v>
      </c>
      <c r="G57" s="116">
        <f>SUM(G58:G59)</f>
        <v>891</v>
      </c>
      <c r="H57" s="116">
        <f t="shared" ref="H57:J57" si="10">SUM(H58:H59)</f>
        <v>1990.84</v>
      </c>
      <c r="I57" s="116">
        <f t="shared" si="10"/>
        <v>1990.84</v>
      </c>
      <c r="J57" s="116">
        <f t="shared" si="10"/>
        <v>541</v>
      </c>
      <c r="K57" s="74">
        <f t="shared" si="5"/>
        <v>60.718294051627389</v>
      </c>
      <c r="L57" s="74">
        <f t="shared" si="8"/>
        <v>27.174459022322239</v>
      </c>
    </row>
    <row r="58" spans="2:14" s="72" customFormat="1" ht="12.75" x14ac:dyDescent="0.2">
      <c r="B58" s="93"/>
      <c r="C58" s="93"/>
      <c r="D58" s="95"/>
      <c r="E58" s="95">
        <v>3431</v>
      </c>
      <c r="F58" s="93" t="s">
        <v>80</v>
      </c>
      <c r="G58" s="97">
        <v>829</v>
      </c>
      <c r="H58" s="97">
        <f>ROUND(N58/7.5345,2)</f>
        <v>1990.84</v>
      </c>
      <c r="I58" s="97">
        <f t="shared" si="4"/>
        <v>1990.84</v>
      </c>
      <c r="J58" s="73">
        <v>370</v>
      </c>
      <c r="K58" s="74">
        <f t="shared" si="5"/>
        <v>44.632086851628465</v>
      </c>
      <c r="L58" s="74">
        <f t="shared" si="8"/>
        <v>18.585119848908001</v>
      </c>
      <c r="N58" s="72">
        <v>15000</v>
      </c>
    </row>
    <row r="59" spans="2:14" s="72" customFormat="1" ht="12.75" x14ac:dyDescent="0.2">
      <c r="B59" s="93"/>
      <c r="C59" s="93"/>
      <c r="D59" s="95"/>
      <c r="E59" s="95">
        <v>3433</v>
      </c>
      <c r="F59" s="93" t="s">
        <v>109</v>
      </c>
      <c r="G59" s="97">
        <v>62</v>
      </c>
      <c r="H59" s="97"/>
      <c r="I59" s="97"/>
      <c r="J59" s="73">
        <v>171</v>
      </c>
      <c r="K59" s="74">
        <f t="shared" si="5"/>
        <v>275.80645161290323</v>
      </c>
      <c r="L59" s="74">
        <f t="shared" si="8"/>
        <v>0</v>
      </c>
    </row>
    <row r="60" spans="2:14" s="71" customFormat="1" ht="12.75" x14ac:dyDescent="0.2">
      <c r="B60" s="108">
        <v>4</v>
      </c>
      <c r="C60" s="108"/>
      <c r="D60" s="108"/>
      <c r="E60" s="108"/>
      <c r="F60" s="109" t="s">
        <v>5</v>
      </c>
      <c r="G60" s="116">
        <f>G61</f>
        <v>3775</v>
      </c>
      <c r="H60" s="116">
        <f>H61</f>
        <v>9290.6</v>
      </c>
      <c r="I60" s="116">
        <f t="shared" si="4"/>
        <v>9290.6</v>
      </c>
      <c r="J60" s="116">
        <f>J61</f>
        <v>3279</v>
      </c>
      <c r="K60" s="74">
        <f t="shared" si="5"/>
        <v>86.860927152317885</v>
      </c>
      <c r="L60" s="74">
        <f t="shared" si="8"/>
        <v>35.293737756441992</v>
      </c>
    </row>
    <row r="61" spans="2:14" s="71" customFormat="1" ht="12.75" x14ac:dyDescent="0.2">
      <c r="B61" s="96"/>
      <c r="C61" s="96">
        <v>42</v>
      </c>
      <c r="D61" s="96"/>
      <c r="E61" s="96"/>
      <c r="F61" s="109" t="s">
        <v>97</v>
      </c>
      <c r="G61" s="116">
        <f>G62</f>
        <v>3775</v>
      </c>
      <c r="H61" s="116">
        <f>H62</f>
        <v>9290.6</v>
      </c>
      <c r="I61" s="116">
        <f t="shared" si="4"/>
        <v>9290.6</v>
      </c>
      <c r="J61" s="116">
        <f>J62</f>
        <v>3279</v>
      </c>
      <c r="K61" s="74">
        <f t="shared" si="5"/>
        <v>86.860927152317885</v>
      </c>
      <c r="L61" s="74">
        <f t="shared" si="8"/>
        <v>35.293737756441992</v>
      </c>
    </row>
    <row r="62" spans="2:14" s="71" customFormat="1" ht="12.75" x14ac:dyDescent="0.2">
      <c r="B62" s="96"/>
      <c r="C62" s="96"/>
      <c r="D62" s="94">
        <v>422</v>
      </c>
      <c r="E62" s="94"/>
      <c r="F62" s="94" t="s">
        <v>98</v>
      </c>
      <c r="G62" s="116">
        <f>SUM(G63:G64)</f>
        <v>3775</v>
      </c>
      <c r="H62" s="116">
        <f>SUM(H63:H64)</f>
        <v>9290.6</v>
      </c>
      <c r="I62" s="116">
        <f t="shared" si="4"/>
        <v>9290.6</v>
      </c>
      <c r="J62" s="116">
        <f>SUM(J63:J64)</f>
        <v>3279</v>
      </c>
      <c r="K62" s="74">
        <f t="shared" si="5"/>
        <v>86.860927152317885</v>
      </c>
      <c r="L62" s="74">
        <f t="shared" si="8"/>
        <v>35.293737756441992</v>
      </c>
    </row>
    <row r="63" spans="2:14" s="72" customFormat="1" ht="12.75" x14ac:dyDescent="0.2">
      <c r="B63" s="103"/>
      <c r="C63" s="103"/>
      <c r="D63" s="93"/>
      <c r="E63" s="93">
        <v>4221</v>
      </c>
      <c r="F63" s="93" t="s">
        <v>99</v>
      </c>
      <c r="G63" s="97"/>
      <c r="H63" s="97">
        <f>ROUND(N63/7.5345,2)</f>
        <v>6636.14</v>
      </c>
      <c r="I63" s="97">
        <f t="shared" si="4"/>
        <v>6636.14</v>
      </c>
      <c r="J63" s="73"/>
      <c r="K63" s="74">
        <f t="shared" si="5"/>
        <v>0</v>
      </c>
      <c r="L63" s="74">
        <f t="shared" si="8"/>
        <v>0</v>
      </c>
      <c r="N63" s="72">
        <f>20000+30000</f>
        <v>50000</v>
      </c>
    </row>
    <row r="64" spans="2:14" s="72" customFormat="1" ht="12.75" x14ac:dyDescent="0.2">
      <c r="B64" s="103"/>
      <c r="C64" s="103" t="s">
        <v>17</v>
      </c>
      <c r="D64" s="93"/>
      <c r="E64" s="93">
        <v>4227</v>
      </c>
      <c r="F64" s="93" t="s">
        <v>100</v>
      </c>
      <c r="G64" s="97">
        <f>541+3234</f>
        <v>3775</v>
      </c>
      <c r="H64" s="97">
        <f>ROUND(N64/7.5345,2)</f>
        <v>2654.46</v>
      </c>
      <c r="I64" s="97">
        <f t="shared" si="4"/>
        <v>2654.46</v>
      </c>
      <c r="J64" s="73">
        <v>3279</v>
      </c>
      <c r="K64" s="74">
        <f t="shared" si="5"/>
        <v>86.860927152317885</v>
      </c>
      <c r="L64" s="74">
        <f t="shared" si="8"/>
        <v>123.52794918740535</v>
      </c>
      <c r="N64" s="72">
        <v>20000</v>
      </c>
    </row>
  </sheetData>
  <mergeCells count="7">
    <mergeCell ref="B8:F8"/>
    <mergeCell ref="B9:F9"/>
    <mergeCell ref="B19:F19"/>
    <mergeCell ref="B20:F20"/>
    <mergeCell ref="B2:L2"/>
    <mergeCell ref="B4:L4"/>
    <mergeCell ref="B6:L6"/>
  </mergeCells>
  <pageMargins left="0.7" right="0.7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19"/>
  <sheetViews>
    <sheetView workbookViewId="0">
      <selection activeCell="I12" sqref="I12"/>
    </sheetView>
  </sheetViews>
  <sheetFormatPr defaultColWidth="23.7109375" defaultRowHeight="15" x14ac:dyDescent="0.25"/>
  <cols>
    <col min="1" max="1" width="4" style="114" customWidth="1"/>
    <col min="2" max="2" width="20" style="114" customWidth="1"/>
    <col min="3" max="3" width="16.140625" style="114" customWidth="1"/>
    <col min="4" max="4" width="13.42578125" style="114" customWidth="1"/>
    <col min="5" max="5" width="14.85546875" style="114" customWidth="1"/>
    <col min="6" max="6" width="11.28515625" style="114" customWidth="1"/>
    <col min="7" max="7" width="10.7109375" style="114" customWidth="1"/>
    <col min="8" max="8" width="11.5703125" style="114" customWidth="1"/>
    <col min="9" max="16384" width="23.7109375" style="114"/>
  </cols>
  <sheetData>
    <row r="1" spans="2:8" ht="18.75" x14ac:dyDescent="0.25">
      <c r="B1" s="112"/>
      <c r="C1" s="112"/>
      <c r="D1" s="112"/>
      <c r="E1" s="112"/>
      <c r="F1" s="113"/>
      <c r="G1" s="113"/>
      <c r="H1" s="113"/>
    </row>
    <row r="2" spans="2:8" ht="15.75" customHeight="1" x14ac:dyDescent="0.25">
      <c r="B2" s="115" t="s">
        <v>38</v>
      </c>
      <c r="C2" s="115"/>
      <c r="D2" s="115"/>
      <c r="E2" s="115"/>
      <c r="F2" s="115"/>
      <c r="G2" s="115"/>
      <c r="H2" s="115"/>
    </row>
    <row r="3" spans="2:8" ht="18.75" x14ac:dyDescent="0.25">
      <c r="B3" s="112"/>
      <c r="C3" s="112"/>
      <c r="D3" s="112"/>
      <c r="E3" s="112"/>
      <c r="F3" s="113"/>
      <c r="G3" s="113"/>
      <c r="H3" s="113"/>
    </row>
    <row r="4" spans="2:8" ht="38.25" x14ac:dyDescent="0.25">
      <c r="B4" s="85" t="s">
        <v>6</v>
      </c>
      <c r="C4" s="85" t="s">
        <v>59</v>
      </c>
      <c r="D4" s="85" t="s">
        <v>128</v>
      </c>
      <c r="E4" s="85" t="s">
        <v>130</v>
      </c>
      <c r="F4" s="85" t="s">
        <v>132</v>
      </c>
      <c r="G4" s="85" t="s">
        <v>18</v>
      </c>
      <c r="H4" s="85" t="s">
        <v>49</v>
      </c>
    </row>
    <row r="5" spans="2:8" x14ac:dyDescent="0.25">
      <c r="B5" s="85">
        <v>1</v>
      </c>
      <c r="C5" s="85">
        <v>2</v>
      </c>
      <c r="D5" s="85">
        <v>3</v>
      </c>
      <c r="E5" s="85">
        <v>4</v>
      </c>
      <c r="F5" s="85">
        <v>5</v>
      </c>
      <c r="G5" s="85" t="s">
        <v>20</v>
      </c>
      <c r="H5" s="85" t="s">
        <v>21</v>
      </c>
    </row>
    <row r="6" spans="2:8" s="71" customFormat="1" ht="12.75" x14ac:dyDescent="0.2">
      <c r="B6" s="96" t="s">
        <v>37</v>
      </c>
      <c r="C6" s="117">
        <f>C7+C10</f>
        <v>359154</v>
      </c>
      <c r="D6" s="117">
        <f>D7+D10</f>
        <v>627778.88</v>
      </c>
      <c r="E6" s="117">
        <f>E7+E10</f>
        <v>627778.88</v>
      </c>
      <c r="F6" s="117">
        <f>F7+F10</f>
        <v>285391</v>
      </c>
      <c r="G6" s="70">
        <f>F6/C6*100</f>
        <v>79.462013509525164</v>
      </c>
      <c r="H6" s="70">
        <f>F6/E6*100</f>
        <v>45.46043345707966</v>
      </c>
    </row>
    <row r="7" spans="2:8" s="71" customFormat="1" ht="12.75" x14ac:dyDescent="0.2">
      <c r="B7" s="96" t="s">
        <v>110</v>
      </c>
      <c r="C7" s="117">
        <v>210910</v>
      </c>
      <c r="D7" s="117">
        <v>246864.42</v>
      </c>
      <c r="E7" s="117">
        <v>246864.42</v>
      </c>
      <c r="F7" s="76">
        <v>130009</v>
      </c>
      <c r="G7" s="70">
        <f>F7/C7*100</f>
        <v>61.641932577876823</v>
      </c>
      <c r="H7" s="70">
        <f t="shared" ref="H6:H7" si="0">F7/E7*100</f>
        <v>52.664130375693659</v>
      </c>
    </row>
    <row r="8" spans="2:8" s="72" customFormat="1" ht="12.75" x14ac:dyDescent="0.2">
      <c r="B8" s="100" t="s">
        <v>111</v>
      </c>
      <c r="C8" s="118">
        <v>210910</v>
      </c>
      <c r="D8" s="118">
        <v>246864.42</v>
      </c>
      <c r="E8" s="118">
        <v>246864.42</v>
      </c>
      <c r="F8" s="73">
        <v>130009</v>
      </c>
      <c r="G8" s="74">
        <f>F8/C8*100</f>
        <v>61.641932577876823</v>
      </c>
      <c r="H8" s="74">
        <f>F8/E8*100</f>
        <v>52.664130375693659</v>
      </c>
    </row>
    <row r="9" spans="2:8" s="72" customFormat="1" ht="12.75" x14ac:dyDescent="0.2">
      <c r="B9" s="101"/>
      <c r="C9" s="118"/>
      <c r="D9" s="118"/>
      <c r="E9" s="118"/>
      <c r="F9" s="74"/>
      <c r="G9" s="74"/>
      <c r="H9" s="74"/>
    </row>
    <row r="10" spans="2:8" s="71" customFormat="1" ht="12.75" x14ac:dyDescent="0.2">
      <c r="B10" s="96" t="s">
        <v>30</v>
      </c>
      <c r="C10" s="117">
        <v>148244</v>
      </c>
      <c r="D10" s="117">
        <v>380914.46</v>
      </c>
      <c r="E10" s="119">
        <v>380914.46</v>
      </c>
      <c r="F10" s="70">
        <v>155382</v>
      </c>
      <c r="G10" s="70">
        <f>F10/C10*100</f>
        <v>104.81503467256685</v>
      </c>
      <c r="H10" s="70">
        <f>F10/D10*100</f>
        <v>40.791835521287375</v>
      </c>
    </row>
    <row r="11" spans="2:8" s="72" customFormat="1" ht="12.75" x14ac:dyDescent="0.2">
      <c r="B11" s="102" t="s">
        <v>29</v>
      </c>
      <c r="C11" s="118">
        <v>148244</v>
      </c>
      <c r="D11" s="118">
        <v>380914.46</v>
      </c>
      <c r="E11" s="120">
        <v>380914.46</v>
      </c>
      <c r="F11" s="74">
        <v>155382</v>
      </c>
      <c r="G11" s="74">
        <f>F11/C11*100</f>
        <v>104.81503467256685</v>
      </c>
      <c r="H11" s="74">
        <f>F11/D11*100</f>
        <v>40.791835521287375</v>
      </c>
    </row>
    <row r="12" spans="2:8" s="72" customFormat="1" ht="12.75" x14ac:dyDescent="0.2">
      <c r="B12" s="102"/>
      <c r="C12" s="118"/>
      <c r="D12" s="118"/>
      <c r="E12" s="120"/>
      <c r="F12" s="74"/>
      <c r="G12" s="74"/>
      <c r="H12" s="74"/>
    </row>
    <row r="13" spans="2:8" s="71" customFormat="1" ht="15.75" customHeight="1" x14ac:dyDescent="0.2">
      <c r="B13" s="96" t="s">
        <v>36</v>
      </c>
      <c r="C13" s="117"/>
      <c r="D13" s="117"/>
      <c r="E13" s="119"/>
      <c r="F13" s="70"/>
      <c r="G13" s="70"/>
      <c r="H13" s="70"/>
    </row>
    <row r="14" spans="2:8" s="71" customFormat="1" ht="15.75" customHeight="1" x14ac:dyDescent="0.2">
      <c r="B14" s="96" t="s">
        <v>110</v>
      </c>
      <c r="C14" s="117">
        <f>C15</f>
        <v>103187</v>
      </c>
      <c r="D14" s="117">
        <f>D15</f>
        <v>273408.98000000004</v>
      </c>
      <c r="E14" s="117">
        <f>E15</f>
        <v>273408.98000000004</v>
      </c>
      <c r="F14" s="70">
        <f>F15</f>
        <v>129887</v>
      </c>
      <c r="G14" s="70">
        <f>F14/C14*100</f>
        <v>125.87535251533623</v>
      </c>
      <c r="H14" s="70">
        <f>F14/E14*100</f>
        <v>47.506486436546446</v>
      </c>
    </row>
    <row r="15" spans="2:8" s="72" customFormat="1" ht="12.75" x14ac:dyDescent="0.2">
      <c r="B15" s="100" t="s">
        <v>111</v>
      </c>
      <c r="C15" s="116">
        <f>96563+' Račun prihoda i rashoda'!G31</f>
        <v>103187</v>
      </c>
      <c r="D15" s="116">
        <f>' Račun prihoda i rashoda'!H23+' Račun prihoda i rashoda'!H31</f>
        <v>273408.98000000004</v>
      </c>
      <c r="E15" s="116">
        <f>D15</f>
        <v>273408.98000000004</v>
      </c>
      <c r="F15" s="116">
        <f>' Račun prihoda i rashoda'!J23+' Račun prihoda i rashoda'!J31</f>
        <v>129887</v>
      </c>
      <c r="G15" s="74">
        <f>F15/C15*100</f>
        <v>125.87535251533623</v>
      </c>
      <c r="H15" s="74">
        <f>F15/E15*100</f>
        <v>47.506486436546446</v>
      </c>
    </row>
    <row r="16" spans="2:8" s="72" customFormat="1" ht="12.75" x14ac:dyDescent="0.2">
      <c r="B16" s="101"/>
      <c r="C16" s="118"/>
      <c r="D16" s="118"/>
      <c r="E16" s="118"/>
      <c r="F16" s="74"/>
      <c r="G16" s="74"/>
      <c r="H16" s="74"/>
    </row>
    <row r="17" spans="2:8" s="71" customFormat="1" ht="12.75" x14ac:dyDescent="0.2">
      <c r="B17" s="96" t="s">
        <v>30</v>
      </c>
      <c r="C17" s="117">
        <f>C18</f>
        <v>144878</v>
      </c>
      <c r="D17" s="117">
        <f>D18</f>
        <v>354369.91000000003</v>
      </c>
      <c r="E17" s="119">
        <f>E18</f>
        <v>354369.91000000003</v>
      </c>
      <c r="F17" s="70">
        <f>F18</f>
        <v>46318</v>
      </c>
      <c r="G17" s="70">
        <f>F17/C17*100</f>
        <v>31.970347464763453</v>
      </c>
      <c r="H17" s="70">
        <f>F17/E17*100</f>
        <v>13.070522833047535</v>
      </c>
    </row>
    <row r="18" spans="2:8" s="72" customFormat="1" ht="12.75" x14ac:dyDescent="0.2">
      <c r="B18" s="102" t="s">
        <v>29</v>
      </c>
      <c r="C18" s="118">
        <f>' Račun prihoda i rashoda'!G21-' Račun prihoda i rashoda'!G23-' Račun prihoda i rashoda'!G31</f>
        <v>144878</v>
      </c>
      <c r="D18" s="118">
        <f>' Račun prihoda i rashoda'!H21-' Račun prihoda i rashoda'!H23-' Račun prihoda i rashoda'!H31</f>
        <v>354369.91000000003</v>
      </c>
      <c r="E18" s="118">
        <f>' Račun prihoda i rashoda'!I21-' Račun prihoda i rashoda'!I23-' Račun prihoda i rashoda'!I31</f>
        <v>354369.91000000003</v>
      </c>
      <c r="F18" s="118">
        <f>' Račun prihoda i rashoda'!J21-' Račun prihoda i rashoda'!J23-' Račun prihoda i rashoda'!J31</f>
        <v>46318</v>
      </c>
      <c r="G18" s="74">
        <f>F18/C18*100</f>
        <v>31.970347464763453</v>
      </c>
      <c r="H18" s="74">
        <f>F18/E18*100</f>
        <v>13.070522833047535</v>
      </c>
    </row>
    <row r="19" spans="2:8" x14ac:dyDescent="0.25">
      <c r="B19" s="103"/>
      <c r="C19" s="118"/>
      <c r="D19" s="118"/>
      <c r="E19" s="120"/>
      <c r="F19" s="40"/>
      <c r="G19" s="40"/>
      <c r="H19" s="40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9"/>
  <sheetViews>
    <sheetView workbookViewId="0">
      <selection activeCell="G15" sqref="G15"/>
    </sheetView>
  </sheetViews>
  <sheetFormatPr defaultRowHeight="15" x14ac:dyDescent="0.25"/>
  <cols>
    <col min="1" max="1" width="9.140625" style="114"/>
    <col min="2" max="2" width="37.7109375" style="114" customWidth="1"/>
    <col min="3" max="3" width="11.28515625" style="114" customWidth="1"/>
    <col min="4" max="4" width="10.85546875" style="114" customWidth="1"/>
    <col min="5" max="5" width="10.28515625" style="114" customWidth="1"/>
    <col min="6" max="6" width="10.5703125" style="114" customWidth="1"/>
    <col min="7" max="7" width="9.7109375" style="114" customWidth="1"/>
    <col min="8" max="8" width="10.28515625" style="114" customWidth="1"/>
    <col min="9" max="16384" width="9.140625" style="114"/>
  </cols>
  <sheetData>
    <row r="1" spans="2:8" ht="18.75" x14ac:dyDescent="0.25">
      <c r="B1" s="112"/>
      <c r="C1" s="112"/>
      <c r="D1" s="112"/>
      <c r="E1" s="112"/>
      <c r="F1" s="113"/>
      <c r="G1" s="113"/>
      <c r="H1" s="113"/>
    </row>
    <row r="2" spans="2:8" ht="15.75" customHeight="1" x14ac:dyDescent="0.25">
      <c r="B2" s="115" t="s">
        <v>47</v>
      </c>
      <c r="C2" s="115"/>
      <c r="D2" s="115"/>
      <c r="E2" s="115"/>
      <c r="F2" s="115"/>
      <c r="G2" s="115"/>
      <c r="H2" s="115"/>
    </row>
    <row r="3" spans="2:8" ht="18.75" x14ac:dyDescent="0.25">
      <c r="B3" s="112"/>
      <c r="C3" s="112"/>
      <c r="D3" s="112"/>
      <c r="E3" s="112"/>
      <c r="F3" s="113"/>
      <c r="G3" s="113"/>
      <c r="H3" s="113"/>
    </row>
    <row r="4" spans="2:8" ht="25.5" x14ac:dyDescent="0.25">
      <c r="B4" s="85" t="s">
        <v>6</v>
      </c>
      <c r="C4" s="85" t="s">
        <v>67</v>
      </c>
      <c r="D4" s="85" t="s">
        <v>128</v>
      </c>
      <c r="E4" s="85" t="s">
        <v>130</v>
      </c>
      <c r="F4" s="85" t="s">
        <v>68</v>
      </c>
      <c r="G4" s="85" t="s">
        <v>18</v>
      </c>
      <c r="H4" s="85" t="s">
        <v>49</v>
      </c>
    </row>
    <row r="5" spans="2:8" x14ac:dyDescent="0.25">
      <c r="B5" s="85">
        <v>1</v>
      </c>
      <c r="C5" s="85">
        <v>2</v>
      </c>
      <c r="D5" s="85">
        <v>3</v>
      </c>
      <c r="E5" s="85">
        <v>4</v>
      </c>
      <c r="F5" s="85">
        <v>5</v>
      </c>
      <c r="G5" s="85" t="s">
        <v>20</v>
      </c>
      <c r="H5" s="85" t="s">
        <v>21</v>
      </c>
    </row>
    <row r="6" spans="2:8" s="72" customFormat="1" ht="15.75" customHeight="1" x14ac:dyDescent="0.2">
      <c r="B6" s="96" t="s">
        <v>36</v>
      </c>
      <c r="C6" s="97"/>
      <c r="D6" s="97"/>
      <c r="E6" s="97"/>
      <c r="F6" s="77"/>
      <c r="G6" s="77"/>
      <c r="H6" s="77"/>
    </row>
    <row r="7" spans="2:8" s="72" customFormat="1" ht="12.75" x14ac:dyDescent="0.2">
      <c r="B7" s="96" t="s">
        <v>8</v>
      </c>
      <c r="C7" s="116">
        <v>248065</v>
      </c>
      <c r="D7" s="116">
        <v>627778.89</v>
      </c>
      <c r="E7" s="116">
        <v>627778.89</v>
      </c>
      <c r="F7" s="116">
        <v>176205</v>
      </c>
      <c r="G7" s="74">
        <f>F7/C7*100</f>
        <v>71.031786023824409</v>
      </c>
      <c r="H7" s="74">
        <f>F7/E7*100</f>
        <v>28.068003369785178</v>
      </c>
    </row>
    <row r="8" spans="2:8" s="72" customFormat="1" ht="25.5" x14ac:dyDescent="0.2">
      <c r="B8" s="102" t="s">
        <v>9</v>
      </c>
      <c r="C8" s="116">
        <v>248065</v>
      </c>
      <c r="D8" s="116">
        <v>627778.89</v>
      </c>
      <c r="E8" s="116">
        <v>627778.89</v>
      </c>
      <c r="F8" s="116">
        <v>176205</v>
      </c>
      <c r="G8" s="74">
        <f>F8/C8*100</f>
        <v>71.031786023824409</v>
      </c>
      <c r="H8" s="74">
        <f>F8/E8*100</f>
        <v>28.068003369785178</v>
      </c>
    </row>
    <row r="9" spans="2:8" s="72" customFormat="1" ht="12.75" x14ac:dyDescent="0.2">
      <c r="B9" s="103"/>
      <c r="C9" s="97"/>
      <c r="D9" s="97"/>
      <c r="E9" s="98"/>
      <c r="F9" s="77"/>
      <c r="G9" s="77"/>
      <c r="H9" s="77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workbookViewId="0">
      <selection activeCell="G14" sqref="G14"/>
    </sheetView>
  </sheetViews>
  <sheetFormatPr defaultRowHeight="15" x14ac:dyDescent="0.25"/>
  <cols>
    <col min="2" max="2" width="3.7109375" customWidth="1"/>
    <col min="3" max="3" width="4.28515625" customWidth="1"/>
    <col min="4" max="4" width="4" customWidth="1"/>
    <col min="5" max="5" width="5.42578125" bestFit="1" customWidth="1"/>
    <col min="6" max="6" width="25.28515625" customWidth="1"/>
    <col min="7" max="7" width="11" customWidth="1"/>
    <col min="8" max="8" width="12.140625" customWidth="1"/>
    <col min="9" max="9" width="11.85546875" customWidth="1"/>
    <col min="10" max="10" width="12.85546875" customWidth="1"/>
    <col min="11" max="11" width="9.7109375" customWidth="1"/>
    <col min="12" max="12" width="10.14062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25">
      <c r="B2" s="67" t="s">
        <v>66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2:12" ht="15.75" customHeight="1" x14ac:dyDescent="0.25">
      <c r="B3" s="67" t="s">
        <v>39</v>
      </c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2:12" ht="18" x14ac:dyDescent="0.25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44.25" customHeight="1" x14ac:dyDescent="0.25">
      <c r="B5" s="83" t="s">
        <v>6</v>
      </c>
      <c r="C5" s="104"/>
      <c r="D5" s="104"/>
      <c r="E5" s="104"/>
      <c r="F5" s="84"/>
      <c r="G5" s="105" t="s">
        <v>59</v>
      </c>
      <c r="H5" s="85" t="s">
        <v>129</v>
      </c>
      <c r="I5" s="105" t="s">
        <v>130</v>
      </c>
      <c r="J5" s="105" t="s">
        <v>133</v>
      </c>
      <c r="K5" s="105" t="s">
        <v>18</v>
      </c>
      <c r="L5" s="105" t="s">
        <v>49</v>
      </c>
    </row>
    <row r="6" spans="2:12" x14ac:dyDescent="0.25">
      <c r="B6" s="83">
        <v>1</v>
      </c>
      <c r="C6" s="104"/>
      <c r="D6" s="104"/>
      <c r="E6" s="104"/>
      <c r="F6" s="84"/>
      <c r="G6" s="105">
        <v>2</v>
      </c>
      <c r="H6" s="105">
        <v>3</v>
      </c>
      <c r="I6" s="105">
        <v>4</v>
      </c>
      <c r="J6" s="105">
        <v>5</v>
      </c>
      <c r="K6" s="105" t="s">
        <v>20</v>
      </c>
      <c r="L6" s="105" t="s">
        <v>21</v>
      </c>
    </row>
    <row r="7" spans="2:12" ht="25.5" x14ac:dyDescent="0.25">
      <c r="B7" s="96">
        <v>8</v>
      </c>
      <c r="C7" s="96"/>
      <c r="D7" s="96"/>
      <c r="E7" s="96"/>
      <c r="F7" s="96" t="s">
        <v>10</v>
      </c>
      <c r="G7" s="97"/>
      <c r="H7" s="97"/>
      <c r="I7" s="97"/>
      <c r="J7" s="99"/>
      <c r="K7" s="99"/>
      <c r="L7" s="99"/>
    </row>
    <row r="8" spans="2:12" x14ac:dyDescent="0.25">
      <c r="B8" s="96"/>
      <c r="C8" s="103">
        <v>84</v>
      </c>
      <c r="D8" s="103"/>
      <c r="E8" s="103"/>
      <c r="F8" s="103" t="s">
        <v>15</v>
      </c>
      <c r="G8" s="97"/>
      <c r="H8" s="97"/>
      <c r="I8" s="97"/>
      <c r="J8" s="99"/>
      <c r="K8" s="99"/>
      <c r="L8" s="99"/>
    </row>
    <row r="9" spans="2:12" ht="51" x14ac:dyDescent="0.25">
      <c r="B9" s="93"/>
      <c r="C9" s="93"/>
      <c r="D9" s="93">
        <v>841</v>
      </c>
      <c r="E9" s="93"/>
      <c r="F9" s="106" t="s">
        <v>40</v>
      </c>
      <c r="G9" s="97"/>
      <c r="H9" s="97"/>
      <c r="I9" s="97"/>
      <c r="J9" s="99"/>
      <c r="K9" s="99"/>
      <c r="L9" s="99"/>
    </row>
    <row r="10" spans="2:12" ht="25.5" x14ac:dyDescent="0.25">
      <c r="B10" s="93"/>
      <c r="C10" s="93"/>
      <c r="D10" s="93"/>
      <c r="E10" s="93">
        <v>8413</v>
      </c>
      <c r="F10" s="106" t="s">
        <v>41</v>
      </c>
      <c r="G10" s="97"/>
      <c r="H10" s="97"/>
      <c r="I10" s="97"/>
      <c r="J10" s="99"/>
      <c r="K10" s="99"/>
      <c r="L10" s="99"/>
    </row>
    <row r="11" spans="2:12" x14ac:dyDescent="0.25">
      <c r="B11" s="93"/>
      <c r="C11" s="93"/>
      <c r="D11" s="93"/>
      <c r="E11" s="95" t="s">
        <v>24</v>
      </c>
      <c r="F11" s="107"/>
      <c r="G11" s="97"/>
      <c r="H11" s="97"/>
      <c r="I11" s="97"/>
      <c r="J11" s="99"/>
      <c r="K11" s="99"/>
      <c r="L11" s="99"/>
    </row>
    <row r="12" spans="2:12" ht="25.5" x14ac:dyDescent="0.25">
      <c r="B12" s="108">
        <v>5</v>
      </c>
      <c r="C12" s="108"/>
      <c r="D12" s="108"/>
      <c r="E12" s="108"/>
      <c r="F12" s="109" t="s">
        <v>11</v>
      </c>
      <c r="G12" s="97"/>
      <c r="H12" s="97"/>
      <c r="I12" s="97"/>
      <c r="J12" s="99"/>
      <c r="K12" s="99"/>
      <c r="L12" s="99"/>
    </row>
    <row r="13" spans="2:12" ht="25.5" x14ac:dyDescent="0.25">
      <c r="B13" s="103"/>
      <c r="C13" s="103">
        <v>54</v>
      </c>
      <c r="D13" s="103"/>
      <c r="E13" s="103"/>
      <c r="F13" s="110" t="s">
        <v>16</v>
      </c>
      <c r="G13" s="97"/>
      <c r="H13" s="97"/>
      <c r="I13" s="98"/>
      <c r="J13" s="99"/>
      <c r="K13" s="99"/>
      <c r="L13" s="99"/>
    </row>
    <row r="14" spans="2:12" ht="63.75" x14ac:dyDescent="0.25">
      <c r="B14" s="103"/>
      <c r="C14" s="103"/>
      <c r="D14" s="103">
        <v>541</v>
      </c>
      <c r="E14" s="106"/>
      <c r="F14" s="106" t="s">
        <v>42</v>
      </c>
      <c r="G14" s="97"/>
      <c r="H14" s="97"/>
      <c r="I14" s="98"/>
      <c r="J14" s="99"/>
      <c r="K14" s="99"/>
      <c r="L14" s="99"/>
    </row>
    <row r="15" spans="2:12" ht="38.25" x14ac:dyDescent="0.25">
      <c r="B15" s="103"/>
      <c r="C15" s="103"/>
      <c r="D15" s="103"/>
      <c r="E15" s="106">
        <v>5413</v>
      </c>
      <c r="F15" s="106" t="s">
        <v>43</v>
      </c>
      <c r="G15" s="97"/>
      <c r="H15" s="97"/>
      <c r="I15" s="98"/>
      <c r="J15" s="99"/>
      <c r="K15" s="99"/>
      <c r="L15" s="99"/>
    </row>
    <row r="16" spans="2:12" x14ac:dyDescent="0.25">
      <c r="B16" s="111" t="s">
        <v>17</v>
      </c>
      <c r="C16" s="108"/>
      <c r="D16" s="108"/>
      <c r="E16" s="108"/>
      <c r="F16" s="109" t="s">
        <v>24</v>
      </c>
      <c r="G16" s="97"/>
      <c r="H16" s="97"/>
      <c r="I16" s="97"/>
      <c r="J16" s="99"/>
      <c r="K16" s="99"/>
      <c r="L16" s="99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6"/>
  <sheetViews>
    <sheetView topLeftCell="A3" workbookViewId="0">
      <selection activeCell="I8" sqref="I8"/>
    </sheetView>
  </sheetViews>
  <sheetFormatPr defaultRowHeight="15" x14ac:dyDescent="0.25"/>
  <cols>
    <col min="2" max="2" width="34.140625" customWidth="1"/>
    <col min="3" max="3" width="13.5703125" customWidth="1"/>
    <col min="4" max="4" width="13.85546875" customWidth="1"/>
    <col min="5" max="5" width="13.7109375" customWidth="1"/>
    <col min="6" max="6" width="13.28515625" customWidth="1"/>
    <col min="7" max="7" width="11.28515625" customWidth="1"/>
    <col min="8" max="8" width="10.2851562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67" t="s">
        <v>44</v>
      </c>
      <c r="C2" s="67"/>
      <c r="D2" s="67"/>
      <c r="E2" s="67"/>
      <c r="F2" s="67"/>
      <c r="G2" s="67"/>
      <c r="H2" s="67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40.5" customHeight="1" x14ac:dyDescent="0.25">
      <c r="B4" s="85" t="s">
        <v>6</v>
      </c>
      <c r="C4" s="85" t="s">
        <v>59</v>
      </c>
      <c r="D4" s="85" t="s">
        <v>128</v>
      </c>
      <c r="E4" s="85" t="s">
        <v>130</v>
      </c>
      <c r="F4" s="85" t="s">
        <v>60</v>
      </c>
      <c r="G4" s="85" t="s">
        <v>18</v>
      </c>
      <c r="H4" s="85" t="s">
        <v>49</v>
      </c>
    </row>
    <row r="5" spans="2:8" x14ac:dyDescent="0.25">
      <c r="B5" s="85">
        <v>1</v>
      </c>
      <c r="C5" s="85">
        <v>2</v>
      </c>
      <c r="D5" s="85">
        <v>3</v>
      </c>
      <c r="E5" s="85">
        <v>4</v>
      </c>
      <c r="F5" s="85">
        <v>5</v>
      </c>
      <c r="G5" s="85" t="s">
        <v>20</v>
      </c>
      <c r="H5" s="85" t="s">
        <v>21</v>
      </c>
    </row>
    <row r="6" spans="2:8" x14ac:dyDescent="0.25">
      <c r="B6" s="96" t="s">
        <v>45</v>
      </c>
      <c r="C6" s="97"/>
      <c r="D6" s="97"/>
      <c r="E6" s="98"/>
      <c r="F6" s="99"/>
      <c r="G6" s="99"/>
      <c r="H6" s="99"/>
    </row>
    <row r="7" spans="2:8" x14ac:dyDescent="0.25">
      <c r="B7" s="96" t="s">
        <v>35</v>
      </c>
      <c r="C7" s="97"/>
      <c r="D7" s="97"/>
      <c r="E7" s="97"/>
      <c r="F7" s="99"/>
      <c r="G7" s="99"/>
      <c r="H7" s="99"/>
    </row>
    <row r="8" spans="2:8" x14ac:dyDescent="0.25">
      <c r="B8" s="100" t="s">
        <v>34</v>
      </c>
      <c r="C8" s="97"/>
      <c r="D8" s="97"/>
      <c r="E8" s="97"/>
      <c r="F8" s="99"/>
      <c r="G8" s="99"/>
      <c r="H8" s="99"/>
    </row>
    <row r="9" spans="2:8" x14ac:dyDescent="0.25">
      <c r="B9" s="101" t="s">
        <v>33</v>
      </c>
      <c r="C9" s="97"/>
      <c r="D9" s="97"/>
      <c r="E9" s="97"/>
      <c r="F9" s="99"/>
      <c r="G9" s="99"/>
      <c r="H9" s="99"/>
    </row>
    <row r="10" spans="2:8" x14ac:dyDescent="0.25">
      <c r="B10" s="101" t="s">
        <v>24</v>
      </c>
      <c r="C10" s="97"/>
      <c r="D10" s="97"/>
      <c r="E10" s="97"/>
      <c r="F10" s="99"/>
      <c r="G10" s="99"/>
      <c r="H10" s="99"/>
    </row>
    <row r="11" spans="2:8" x14ac:dyDescent="0.25">
      <c r="B11" s="96" t="s">
        <v>32</v>
      </c>
      <c r="C11" s="97"/>
      <c r="D11" s="97"/>
      <c r="E11" s="98"/>
      <c r="F11" s="99"/>
      <c r="G11" s="99"/>
      <c r="H11" s="99"/>
    </row>
    <row r="12" spans="2:8" x14ac:dyDescent="0.25">
      <c r="B12" s="102" t="s">
        <v>31</v>
      </c>
      <c r="C12" s="97"/>
      <c r="D12" s="97"/>
      <c r="E12" s="98"/>
      <c r="F12" s="99"/>
      <c r="G12" s="99"/>
      <c r="H12" s="99"/>
    </row>
    <row r="13" spans="2:8" x14ac:dyDescent="0.25">
      <c r="B13" s="96" t="s">
        <v>30</v>
      </c>
      <c r="C13" s="97"/>
      <c r="D13" s="97"/>
      <c r="E13" s="98"/>
      <c r="F13" s="99"/>
      <c r="G13" s="99"/>
      <c r="H13" s="99"/>
    </row>
    <row r="14" spans="2:8" x14ac:dyDescent="0.25">
      <c r="B14" s="102" t="s">
        <v>29</v>
      </c>
      <c r="C14" s="97"/>
      <c r="D14" s="97"/>
      <c r="E14" s="98"/>
      <c r="F14" s="99"/>
      <c r="G14" s="99"/>
      <c r="H14" s="99"/>
    </row>
    <row r="15" spans="2:8" x14ac:dyDescent="0.25">
      <c r="B15" s="103" t="s">
        <v>17</v>
      </c>
      <c r="C15" s="97"/>
      <c r="D15" s="97"/>
      <c r="E15" s="98"/>
      <c r="F15" s="99"/>
      <c r="G15" s="99"/>
      <c r="H15" s="99"/>
    </row>
    <row r="16" spans="2:8" x14ac:dyDescent="0.25">
      <c r="B16" s="20"/>
      <c r="C16" s="4"/>
      <c r="D16" s="4"/>
      <c r="E16" s="5"/>
      <c r="F16" s="19"/>
      <c r="G16" s="19"/>
      <c r="H16" s="19"/>
    </row>
    <row r="17" spans="2:8" ht="15.75" customHeight="1" x14ac:dyDescent="0.25">
      <c r="B17" s="6" t="s">
        <v>46</v>
      </c>
      <c r="C17" s="4"/>
      <c r="D17" s="4"/>
      <c r="E17" s="5"/>
      <c r="F17" s="19"/>
      <c r="G17" s="19"/>
      <c r="H17" s="19"/>
    </row>
    <row r="18" spans="2:8" ht="15.75" customHeight="1" x14ac:dyDescent="0.25">
      <c r="B18" s="6" t="s">
        <v>35</v>
      </c>
      <c r="C18" s="4"/>
      <c r="D18" s="4"/>
      <c r="E18" s="4"/>
      <c r="F18" s="19"/>
      <c r="G18" s="19"/>
      <c r="H18" s="19"/>
    </row>
    <row r="19" spans="2:8" x14ac:dyDescent="0.25">
      <c r="B19" s="22" t="s">
        <v>34</v>
      </c>
      <c r="C19" s="4"/>
      <c r="D19" s="4"/>
      <c r="E19" s="4"/>
      <c r="F19" s="19"/>
      <c r="G19" s="19"/>
      <c r="H19" s="19"/>
    </row>
    <row r="20" spans="2:8" x14ac:dyDescent="0.25">
      <c r="B20" s="21" t="s">
        <v>33</v>
      </c>
      <c r="C20" s="4"/>
      <c r="D20" s="4"/>
      <c r="E20" s="4"/>
      <c r="F20" s="19"/>
      <c r="G20" s="19"/>
      <c r="H20" s="19"/>
    </row>
    <row r="21" spans="2:8" x14ac:dyDescent="0.25">
      <c r="B21" s="21" t="s">
        <v>24</v>
      </c>
      <c r="C21" s="4"/>
      <c r="D21" s="4"/>
      <c r="E21" s="4"/>
      <c r="F21" s="19"/>
      <c r="G21" s="19"/>
      <c r="H21" s="19"/>
    </row>
    <row r="22" spans="2:8" x14ac:dyDescent="0.25">
      <c r="B22" s="6" t="s">
        <v>32</v>
      </c>
      <c r="C22" s="4"/>
      <c r="D22" s="4"/>
      <c r="E22" s="5"/>
      <c r="F22" s="19"/>
      <c r="G22" s="19"/>
      <c r="H22" s="19"/>
    </row>
    <row r="23" spans="2:8" x14ac:dyDescent="0.25">
      <c r="B23" s="20" t="s">
        <v>31</v>
      </c>
      <c r="C23" s="4"/>
      <c r="D23" s="4"/>
      <c r="E23" s="5"/>
      <c r="F23" s="19"/>
      <c r="G23" s="19"/>
      <c r="H23" s="19"/>
    </row>
    <row r="24" spans="2:8" x14ac:dyDescent="0.25">
      <c r="B24" s="6" t="s">
        <v>30</v>
      </c>
      <c r="C24" s="4"/>
      <c r="D24" s="4"/>
      <c r="E24" s="5"/>
      <c r="F24" s="19"/>
      <c r="G24" s="19"/>
      <c r="H24" s="19"/>
    </row>
    <row r="25" spans="2:8" x14ac:dyDescent="0.25">
      <c r="B25" s="20" t="s">
        <v>29</v>
      </c>
      <c r="C25" s="4"/>
      <c r="D25" s="4"/>
      <c r="E25" s="5"/>
      <c r="F25" s="19"/>
      <c r="G25" s="19"/>
      <c r="H25" s="19"/>
    </row>
    <row r="26" spans="2:8" x14ac:dyDescent="0.25">
      <c r="B26" s="7" t="s">
        <v>17</v>
      </c>
      <c r="C26" s="4"/>
      <c r="D26" s="4"/>
      <c r="E26" s="5"/>
      <c r="F26" s="19"/>
      <c r="G26" s="19"/>
      <c r="H26" s="19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25"/>
  <sheetViews>
    <sheetView workbookViewId="0">
      <selection activeCell="J15" sqref="J15"/>
    </sheetView>
  </sheetViews>
  <sheetFormatPr defaultRowHeight="15" x14ac:dyDescent="0.25"/>
  <cols>
    <col min="2" max="2" width="10" customWidth="1"/>
    <col min="3" max="3" width="26.5703125" style="39" customWidth="1"/>
    <col min="4" max="4" width="13.7109375" customWidth="1"/>
    <col min="5" max="5" width="13.28515625" customWidth="1"/>
    <col min="6" max="6" width="12.5703125" customWidth="1"/>
    <col min="7" max="7" width="10" customWidth="1"/>
  </cols>
  <sheetData>
    <row r="1" spans="2:7" ht="18" x14ac:dyDescent="0.25">
      <c r="B1" s="2"/>
      <c r="C1" s="2"/>
      <c r="D1" s="2"/>
      <c r="E1" s="2"/>
      <c r="F1" s="2"/>
      <c r="G1" s="3"/>
    </row>
    <row r="2" spans="2:7" ht="18" customHeight="1" x14ac:dyDescent="0.25">
      <c r="B2" s="67" t="s">
        <v>12</v>
      </c>
      <c r="C2" s="68"/>
      <c r="D2" s="68"/>
      <c r="E2" s="68"/>
      <c r="F2" s="68"/>
      <c r="G2" s="68"/>
    </row>
    <row r="3" spans="2:7" ht="18" x14ac:dyDescent="0.25">
      <c r="B3" s="2"/>
      <c r="C3" s="2"/>
      <c r="D3" s="2"/>
      <c r="E3" s="2"/>
      <c r="F3" s="2"/>
      <c r="G3" s="3"/>
    </row>
    <row r="4" spans="2:7" ht="15.75" x14ac:dyDescent="0.25">
      <c r="B4" s="69" t="s">
        <v>69</v>
      </c>
      <c r="C4" s="69"/>
      <c r="D4" s="69"/>
      <c r="E4" s="69"/>
      <c r="F4" s="69"/>
      <c r="G4" s="69"/>
    </row>
    <row r="5" spans="2:7" ht="18" x14ac:dyDescent="0.25">
      <c r="B5" s="2"/>
      <c r="C5" s="2"/>
      <c r="D5" s="2"/>
      <c r="E5" s="2"/>
      <c r="F5" s="2"/>
      <c r="G5" s="3"/>
    </row>
    <row r="6" spans="2:7" ht="25.5" x14ac:dyDescent="0.25">
      <c r="B6" s="83" t="s">
        <v>6</v>
      </c>
      <c r="C6" s="84"/>
      <c r="D6" s="85" t="s">
        <v>129</v>
      </c>
      <c r="E6" s="85" t="s">
        <v>130</v>
      </c>
      <c r="F6" s="85" t="s">
        <v>70</v>
      </c>
      <c r="G6" s="85" t="s">
        <v>49</v>
      </c>
    </row>
    <row r="7" spans="2:7" s="18" customFormat="1" ht="15.75" customHeight="1" x14ac:dyDescent="0.2">
      <c r="B7" s="86">
        <v>1</v>
      </c>
      <c r="C7" s="87"/>
      <c r="D7" s="88">
        <v>2</v>
      </c>
      <c r="E7" s="88">
        <v>3</v>
      </c>
      <c r="F7" s="88">
        <v>4</v>
      </c>
      <c r="G7" s="88" t="s">
        <v>48</v>
      </c>
    </row>
    <row r="8" spans="2:7" s="26" customFormat="1" ht="24" customHeight="1" x14ac:dyDescent="0.25">
      <c r="B8" s="89" t="s">
        <v>117</v>
      </c>
      <c r="C8" s="89" t="s">
        <v>116</v>
      </c>
      <c r="D8" s="90">
        <f>D9+D10</f>
        <v>627778.8899999999</v>
      </c>
      <c r="E8" s="90">
        <f t="shared" ref="E8:G8" si="0">E9+E10</f>
        <v>627778.8899999999</v>
      </c>
      <c r="F8" s="90">
        <f t="shared" si="0"/>
        <v>201145</v>
      </c>
      <c r="G8" s="90">
        <f t="shared" ref="G8:G10" si="1">IF(E8&lt;&gt; 0,F8/E8*100,0)</f>
        <v>32.040739694193924</v>
      </c>
    </row>
    <row r="9" spans="2:7" s="26" customFormat="1" ht="24" customHeight="1" x14ac:dyDescent="0.25">
      <c r="B9" s="89">
        <v>52</v>
      </c>
      <c r="C9" s="127" t="s">
        <v>114</v>
      </c>
      <c r="D9" s="90">
        <f>D12+D17</f>
        <v>273408.98000000004</v>
      </c>
      <c r="E9" s="90">
        <f t="shared" ref="E9:F9" si="2">E12+E17</f>
        <v>273408.98000000004</v>
      </c>
      <c r="F9" s="90">
        <f t="shared" si="2"/>
        <v>129887</v>
      </c>
      <c r="G9" s="90">
        <f t="shared" si="1"/>
        <v>47.506486436546446</v>
      </c>
    </row>
    <row r="10" spans="2:7" s="26" customFormat="1" ht="24" customHeight="1" x14ac:dyDescent="0.25">
      <c r="B10" s="89">
        <v>31</v>
      </c>
      <c r="C10" s="127" t="s">
        <v>115</v>
      </c>
      <c r="D10" s="90">
        <f>D11-D9</f>
        <v>354369.90999999986</v>
      </c>
      <c r="E10" s="90">
        <f t="shared" ref="E10:F10" si="3">E11-E9</f>
        <v>354369.90999999986</v>
      </c>
      <c r="F10" s="90">
        <f t="shared" si="3"/>
        <v>71258</v>
      </c>
      <c r="G10" s="90">
        <f t="shared" si="1"/>
        <v>20.108366424226038</v>
      </c>
    </row>
    <row r="11" spans="2:7" s="26" customFormat="1" ht="24" customHeight="1" x14ac:dyDescent="0.25">
      <c r="B11" s="89" t="s">
        <v>112</v>
      </c>
      <c r="C11" s="89" t="s">
        <v>113</v>
      </c>
      <c r="D11" s="90">
        <f>D12+D16+D22+D24</f>
        <v>627778.8899999999</v>
      </c>
      <c r="E11" s="90">
        <f t="shared" ref="E11:F11" si="4">E12+E16+E22+E24</f>
        <v>627778.8899999999</v>
      </c>
      <c r="F11" s="90">
        <f t="shared" si="4"/>
        <v>201145</v>
      </c>
      <c r="G11" s="90">
        <f>IF(E11&lt;&gt; 0,F11/E11*100,0)</f>
        <v>32.040739694193924</v>
      </c>
    </row>
    <row r="12" spans="2:7" s="26" customFormat="1" ht="24" customHeight="1" x14ac:dyDescent="0.25">
      <c r="B12" s="89">
        <v>31</v>
      </c>
      <c r="C12" s="127" t="s">
        <v>118</v>
      </c>
      <c r="D12" s="90">
        <v>257482.24000000002</v>
      </c>
      <c r="E12" s="90">
        <v>257482.24000000002</v>
      </c>
      <c r="F12" s="90">
        <v>126271</v>
      </c>
      <c r="G12" s="90">
        <f>IF(E12&lt;&gt; 0,F12/E12*100,0)</f>
        <v>49.040663930840431</v>
      </c>
    </row>
    <row r="13" spans="2:7" s="26" customFormat="1" ht="24" customHeight="1" x14ac:dyDescent="0.25">
      <c r="B13" s="91">
        <v>311</v>
      </c>
      <c r="C13" s="128" t="s">
        <v>119</v>
      </c>
      <c r="D13" s="92">
        <v>246864.42</v>
      </c>
      <c r="E13" s="92">
        <v>246864.42</v>
      </c>
      <c r="F13" s="92">
        <v>106936</v>
      </c>
      <c r="G13" s="90">
        <f t="shared" ref="G13:G25" si="5">IF(E13&lt;&gt; 0,F13/E13*100,0)</f>
        <v>43.317704511650561</v>
      </c>
    </row>
    <row r="14" spans="2:7" s="26" customFormat="1" ht="24" customHeight="1" x14ac:dyDescent="0.25">
      <c r="B14" s="91">
        <v>312</v>
      </c>
      <c r="C14" s="91" t="s">
        <v>120</v>
      </c>
      <c r="D14" s="92">
        <v>10617.82</v>
      </c>
      <c r="E14" s="92">
        <v>10617.82</v>
      </c>
      <c r="F14" s="92">
        <v>1690</v>
      </c>
      <c r="G14" s="90">
        <f t="shared" si="5"/>
        <v>15.916638255310412</v>
      </c>
    </row>
    <row r="15" spans="2:7" s="26" customFormat="1" ht="24" customHeight="1" x14ac:dyDescent="0.25">
      <c r="B15" s="91">
        <v>313</v>
      </c>
      <c r="C15" s="106" t="s">
        <v>121</v>
      </c>
      <c r="D15" s="92">
        <v>0</v>
      </c>
      <c r="E15" s="92">
        <v>0</v>
      </c>
      <c r="F15" s="92">
        <v>17645</v>
      </c>
      <c r="G15" s="90">
        <f t="shared" si="5"/>
        <v>0</v>
      </c>
    </row>
    <row r="16" spans="2:7" s="26" customFormat="1" ht="24" customHeight="1" x14ac:dyDescent="0.25">
      <c r="B16" s="89">
        <v>32</v>
      </c>
      <c r="C16" s="129" t="s">
        <v>122</v>
      </c>
      <c r="D16" s="90">
        <v>359015.20999999996</v>
      </c>
      <c r="E16" s="90">
        <v>359015.20999999996</v>
      </c>
      <c r="F16" s="90">
        <v>71054</v>
      </c>
      <c r="G16" s="90">
        <f t="shared" si="5"/>
        <v>19.791362042850498</v>
      </c>
    </row>
    <row r="17" spans="2:7" s="26" customFormat="1" ht="24" customHeight="1" x14ac:dyDescent="0.25">
      <c r="B17" s="91">
        <v>321</v>
      </c>
      <c r="C17" s="106" t="s">
        <v>127</v>
      </c>
      <c r="D17" s="92">
        <v>15926.740000000002</v>
      </c>
      <c r="E17" s="92">
        <v>15926.740000000002</v>
      </c>
      <c r="F17" s="92">
        <v>3616</v>
      </c>
      <c r="G17" s="90">
        <f t="shared" si="5"/>
        <v>22.703955737332308</v>
      </c>
    </row>
    <row r="18" spans="2:7" s="26" customFormat="1" ht="24" customHeight="1" x14ac:dyDescent="0.25">
      <c r="B18" s="91">
        <v>322</v>
      </c>
      <c r="C18" s="106" t="s">
        <v>124</v>
      </c>
      <c r="D18" s="92">
        <v>249518.87999999998</v>
      </c>
      <c r="E18" s="92">
        <v>249518.87999999998</v>
      </c>
      <c r="F18" s="92">
        <v>20462</v>
      </c>
      <c r="G18" s="90">
        <f t="shared" si="5"/>
        <v>8.2005818557697925</v>
      </c>
    </row>
    <row r="19" spans="2:7" ht="24" customHeight="1" x14ac:dyDescent="0.25">
      <c r="B19" s="91">
        <v>323</v>
      </c>
      <c r="C19" s="106" t="s">
        <v>125</v>
      </c>
      <c r="D19" s="92">
        <v>72333.94</v>
      </c>
      <c r="E19" s="92">
        <v>72333.94</v>
      </c>
      <c r="F19" s="92">
        <v>41758</v>
      </c>
      <c r="G19" s="90">
        <f t="shared" si="5"/>
        <v>57.729469734401306</v>
      </c>
    </row>
    <row r="20" spans="2:7" ht="24" customHeight="1" x14ac:dyDescent="0.25">
      <c r="B20" s="91">
        <v>329</v>
      </c>
      <c r="C20" s="106" t="s">
        <v>126</v>
      </c>
      <c r="D20" s="92">
        <v>1327.23</v>
      </c>
      <c r="E20" s="92">
        <v>1327.23</v>
      </c>
      <c r="F20" s="92">
        <v>5218</v>
      </c>
      <c r="G20" s="90">
        <f t="shared" si="5"/>
        <v>393.14964248849105</v>
      </c>
    </row>
    <row r="21" spans="2:7" ht="24" customHeight="1" x14ac:dyDescent="0.25">
      <c r="B21" s="91">
        <v>324</v>
      </c>
      <c r="C21" s="106" t="s">
        <v>123</v>
      </c>
      <c r="D21" s="92">
        <v>19908.419999999998</v>
      </c>
      <c r="E21" s="92">
        <v>19908.419999999998</v>
      </c>
      <c r="F21" s="81"/>
      <c r="G21" s="90">
        <f t="shared" si="5"/>
        <v>0</v>
      </c>
    </row>
    <row r="22" spans="2:7" ht="24" customHeight="1" x14ac:dyDescent="0.25">
      <c r="B22" s="94">
        <v>34</v>
      </c>
      <c r="C22" s="129" t="s">
        <v>95</v>
      </c>
      <c r="D22" s="90">
        <v>1990.84</v>
      </c>
      <c r="E22" s="90">
        <v>1990.84</v>
      </c>
      <c r="F22" s="90">
        <v>541</v>
      </c>
      <c r="G22" s="90">
        <f t="shared" si="5"/>
        <v>27.174459022322239</v>
      </c>
    </row>
    <row r="23" spans="2:7" ht="24" customHeight="1" x14ac:dyDescent="0.25">
      <c r="B23" s="95">
        <v>343</v>
      </c>
      <c r="C23" s="106" t="s">
        <v>96</v>
      </c>
      <c r="D23" s="92">
        <v>1990.84</v>
      </c>
      <c r="E23" s="92">
        <v>1990.84</v>
      </c>
      <c r="F23" s="92">
        <v>541</v>
      </c>
      <c r="G23" s="90">
        <f t="shared" si="5"/>
        <v>27.174459022322239</v>
      </c>
    </row>
    <row r="24" spans="2:7" ht="24" customHeight="1" x14ac:dyDescent="0.25">
      <c r="B24" s="80">
        <v>42</v>
      </c>
      <c r="C24" s="130" t="s">
        <v>97</v>
      </c>
      <c r="D24" s="79">
        <v>9290.6</v>
      </c>
      <c r="E24" s="79">
        <v>9290.6</v>
      </c>
      <c r="F24" s="79">
        <v>3279</v>
      </c>
      <c r="G24" s="90">
        <f t="shared" si="5"/>
        <v>35.293737756441992</v>
      </c>
    </row>
    <row r="25" spans="2:7" ht="24" customHeight="1" x14ac:dyDescent="0.25">
      <c r="B25" s="82">
        <v>422</v>
      </c>
      <c r="C25" s="131" t="s">
        <v>98</v>
      </c>
      <c r="D25" s="78">
        <v>9290.6</v>
      </c>
      <c r="E25" s="78">
        <v>9290.6</v>
      </c>
      <c r="F25" s="78">
        <v>3279</v>
      </c>
      <c r="G25" s="90">
        <f t="shared" si="5"/>
        <v>35.293737756441992</v>
      </c>
    </row>
  </sheetData>
  <mergeCells count="4">
    <mergeCell ref="B2:G2"/>
    <mergeCell ref="B4:G4"/>
    <mergeCell ref="B6:C6"/>
    <mergeCell ref="B7:C7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Ante Tustanovski</cp:lastModifiedBy>
  <cp:lastPrinted>2023-07-25T14:50:53Z</cp:lastPrinted>
  <dcterms:created xsi:type="dcterms:W3CDTF">2022-08-12T12:51:27Z</dcterms:created>
  <dcterms:modified xsi:type="dcterms:W3CDTF">2023-09-11T12:08:42Z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